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npactonline-my.sharepoint.com/personal/703060264_genpact_com/Documents/Pavan/GSIF 6 - Prdaan FPC/Processing/"/>
    </mc:Choice>
  </mc:AlternateContent>
  <xr:revisionPtr revIDLastSave="23" documentId="13_ncr:1_{DBD53A9A-6AB0-4879-8C09-01C67AF0EA0A}" xr6:coauthVersionLast="47" xr6:coauthVersionMax="47" xr10:uidLastSave="{30D0593C-763A-4CBC-974F-6F19B951DE1C}"/>
  <bookViews>
    <workbookView xWindow="-120" yWindow="-120" windowWidth="20730" windowHeight="11160" xr2:uid="{DA8C8209-14D9-4EF6-B04E-C5652C96478F}"/>
  </bookViews>
  <sheets>
    <sheet name="Assumptions" sheetId="6" r:id="rId1"/>
    <sheet name="Product Cost" sheetId="2" r:id="rId2"/>
    <sheet name="Break Even Analysis" sheetId="1" r:id="rId3"/>
    <sheet name="Profitability Analysi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D27" i="2" l="1"/>
  <c r="D26" i="2"/>
  <c r="D25" i="2"/>
  <c r="D24" i="2"/>
  <c r="D23" i="2"/>
  <c r="D22" i="2"/>
  <c r="B55" i="2"/>
  <c r="C6" i="4" s="1"/>
  <c r="C7" i="4" s="1"/>
  <c r="B54" i="2"/>
  <c r="C54" i="2" s="1"/>
  <c r="D54" i="2" s="1"/>
  <c r="D55" i="2" l="1"/>
  <c r="E6" i="4" s="1"/>
  <c r="E54" i="2"/>
  <c r="C55" i="2"/>
  <c r="D6" i="4" s="1"/>
  <c r="E55" i="2" l="1"/>
  <c r="F6" i="4" s="1"/>
  <c r="F54" i="2"/>
  <c r="F55" i="2" l="1"/>
  <c r="G6" i="4" s="1"/>
  <c r="G54" i="2"/>
  <c r="G55" i="2" s="1"/>
  <c r="H6" i="4" s="1"/>
  <c r="C18" i="1" l="1"/>
  <c r="C9" i="1" l="1"/>
  <c r="C8" i="1"/>
  <c r="C7" i="1"/>
  <c r="C6" i="1"/>
  <c r="C5" i="1"/>
  <c r="C4" i="1"/>
  <c r="D20" i="2" l="1"/>
  <c r="D19" i="2"/>
  <c r="D16" i="2"/>
  <c r="C23" i="1" s="1"/>
  <c r="B42" i="2"/>
  <c r="D21" i="2"/>
  <c r="D18" i="2"/>
  <c r="D17" i="2"/>
  <c r="D15" i="2"/>
  <c r="D14" i="2"/>
  <c r="D13" i="2"/>
  <c r="D28" i="2" s="1"/>
  <c r="D12" i="2"/>
  <c r="D11" i="2"/>
  <c r="D10" i="2"/>
  <c r="D9" i="2"/>
  <c r="D8" i="2"/>
  <c r="D6" i="2"/>
  <c r="D5" i="2"/>
  <c r="B46" i="2" l="1"/>
  <c r="C46" i="2" s="1"/>
  <c r="B12" i="4"/>
  <c r="D35" i="2"/>
  <c r="C17" i="1" s="1"/>
  <c r="D31" i="2"/>
  <c r="C13" i="1" s="1"/>
  <c r="D33" i="2"/>
  <c r="C15" i="1" s="1"/>
  <c r="D7" i="2"/>
  <c r="D32" i="2" s="1"/>
  <c r="C14" i="1" s="1"/>
  <c r="C21" i="1" s="1"/>
  <c r="B45" i="2"/>
  <c r="H7" i="4"/>
  <c r="D30" i="2"/>
  <c r="C12" i="1" s="1"/>
  <c r="D29" i="2"/>
  <c r="C11" i="1" s="1"/>
  <c r="B50" i="2" l="1"/>
  <c r="B49" i="2"/>
  <c r="D7" i="4"/>
  <c r="F7" i="4"/>
  <c r="G7" i="4"/>
  <c r="E7" i="4"/>
  <c r="F11" i="4" l="1"/>
  <c r="E11" i="4"/>
  <c r="C11" i="4"/>
  <c r="G11" i="4"/>
  <c r="D11" i="4"/>
  <c r="H11" i="4"/>
  <c r="C10" i="4" l="1"/>
  <c r="E10" i="4"/>
  <c r="D10" i="4"/>
  <c r="H10" i="4"/>
  <c r="G10" i="4"/>
  <c r="F10" i="4"/>
  <c r="C10" i="1" l="1"/>
  <c r="C50" i="2" l="1"/>
  <c r="D34" i="2" l="1"/>
  <c r="D37" i="2" l="1"/>
  <c r="D38" i="2" s="1"/>
  <c r="C16" i="1"/>
  <c r="C22" i="1" s="1"/>
  <c r="C24" i="1" s="1"/>
  <c r="H8" i="4" s="1"/>
  <c r="H9" i="4" s="1"/>
  <c r="H12" i="4" s="1"/>
  <c r="F8" i="4" l="1"/>
  <c r="F9" i="4" s="1"/>
  <c r="F12" i="4" s="1"/>
  <c r="G8" i="4"/>
  <c r="G9" i="4" s="1"/>
  <c r="G12" i="4" s="1"/>
  <c r="C8" i="4"/>
  <c r="C9" i="4" s="1"/>
  <c r="C12" i="4" s="1"/>
  <c r="C26" i="1"/>
  <c r="C27" i="1" s="1"/>
  <c r="D8" i="4"/>
  <c r="D9" i="4" s="1"/>
  <c r="D12" i="4" s="1"/>
  <c r="E8" i="4"/>
  <c r="E9" i="4" s="1"/>
  <c r="E12" i="4" s="1"/>
  <c r="B14" i="4"/>
</calcChain>
</file>

<file path=xl/sharedStrings.xml><?xml version="1.0" encoding="utf-8"?>
<sst xmlns="http://schemas.openxmlformats.org/spreadsheetml/2006/main" count="260" uniqueCount="105">
  <si>
    <t>Description</t>
  </si>
  <si>
    <t>Unit</t>
  </si>
  <si>
    <t>Rs</t>
  </si>
  <si>
    <t>Cost of Machines</t>
  </si>
  <si>
    <t>Sq Ft</t>
  </si>
  <si>
    <t>Hours</t>
  </si>
  <si>
    <t>Life of Machine</t>
  </si>
  <si>
    <t>Years</t>
  </si>
  <si>
    <t>Floor Area Occupied in the Factory</t>
  </si>
  <si>
    <t>Hrs of operation/day</t>
  </si>
  <si>
    <t>Days</t>
  </si>
  <si>
    <t>Kg</t>
  </si>
  <si>
    <t>Procurement price of raw materials</t>
  </si>
  <si>
    <t>Rs/kg</t>
  </si>
  <si>
    <t xml:space="preserve">Processing efficiency </t>
  </si>
  <si>
    <t>Depreciation of fixed assets</t>
  </si>
  <si>
    <t>By product 2</t>
  </si>
  <si>
    <t>Total volume of by product 1 produced</t>
  </si>
  <si>
    <t>Total volume of by product 2 produced</t>
  </si>
  <si>
    <t>%</t>
  </si>
  <si>
    <t>Total output of Main Product</t>
  </si>
  <si>
    <t>Material Cost</t>
  </si>
  <si>
    <t>Labour Cost</t>
  </si>
  <si>
    <t>Number of production days per month</t>
  </si>
  <si>
    <t>Rent of Premises per Month</t>
  </si>
  <si>
    <t>Supervisor Cost Per Month</t>
  </si>
  <si>
    <t>Other Support Staff - Accountant, Store keeper, Security and cleaners</t>
  </si>
  <si>
    <t>Power Cost</t>
  </si>
  <si>
    <t>Water</t>
  </si>
  <si>
    <t>Amount</t>
  </si>
  <si>
    <t>Labour Required</t>
  </si>
  <si>
    <t>Count</t>
  </si>
  <si>
    <t>Labour Daily Rate</t>
  </si>
  <si>
    <t>Raw Material Transport Cost per Trip</t>
  </si>
  <si>
    <t>Number of Trips for Raw Material Transport per Month</t>
  </si>
  <si>
    <t>Repairs and Maintanance</t>
  </si>
  <si>
    <t>Packaging Size</t>
  </si>
  <si>
    <t>Packaging Cost</t>
  </si>
  <si>
    <t>Marketing Cost</t>
  </si>
  <si>
    <t>Scrap Value</t>
  </si>
  <si>
    <t>Raw Material Tranaportation Cost</t>
  </si>
  <si>
    <t>Cost Type</t>
  </si>
  <si>
    <t>Fixed</t>
  </si>
  <si>
    <t>Variable</t>
  </si>
  <si>
    <t>Total Cost</t>
  </si>
  <si>
    <t>Cost Per Unit of Output</t>
  </si>
  <si>
    <t>Total Amount</t>
  </si>
  <si>
    <t>Total Output</t>
  </si>
  <si>
    <t>Total Fixed Cost</t>
  </si>
  <si>
    <t>Total Variable Cost</t>
  </si>
  <si>
    <t>Variable Cost Per Unit</t>
  </si>
  <si>
    <t>Selling Price Per Unit</t>
  </si>
  <si>
    <t>Contribution</t>
  </si>
  <si>
    <t>Break Even Point</t>
  </si>
  <si>
    <t>Rs / Kg</t>
  </si>
  <si>
    <t>Yearly Cashflow and Profitablility</t>
  </si>
  <si>
    <t>Year 1</t>
  </si>
  <si>
    <t>Year 2</t>
  </si>
  <si>
    <t>Year 3</t>
  </si>
  <si>
    <t>Year 4</t>
  </si>
  <si>
    <t>Year 5</t>
  </si>
  <si>
    <t>Output</t>
  </si>
  <si>
    <t>Sales</t>
  </si>
  <si>
    <t>Variable Cost</t>
  </si>
  <si>
    <t>Operating Cashflow</t>
  </si>
  <si>
    <t>Fixed Cost Excluding Depreciation</t>
  </si>
  <si>
    <t>Depreciation charges</t>
  </si>
  <si>
    <t>Sno.</t>
  </si>
  <si>
    <t>Land Development</t>
  </si>
  <si>
    <t>Civil Works</t>
  </si>
  <si>
    <t>Plant and Machinery</t>
  </si>
  <si>
    <t>Miscelleneous Fixed Assets</t>
  </si>
  <si>
    <t>Preliminary and Pre-operative Expenses</t>
  </si>
  <si>
    <t>Year 0</t>
  </si>
  <si>
    <t>Year 6</t>
  </si>
  <si>
    <t>Project IRR</t>
  </si>
  <si>
    <t>Net Cashflow excluding Depreciation</t>
  </si>
  <si>
    <t>By product 1</t>
  </si>
  <si>
    <t>Project Establishment Cost</t>
  </si>
  <si>
    <t>Monthly Assumptions</t>
  </si>
  <si>
    <t>Costing Based on Monthly Costing Data</t>
  </si>
  <si>
    <t xml:space="preserve">Break Analysis based on Monthly Sales Volumes and Cost </t>
  </si>
  <si>
    <t>Scap Value %</t>
  </si>
  <si>
    <t>Equity and Grants</t>
  </si>
  <si>
    <t>Loan from Banks</t>
  </si>
  <si>
    <t>Proportion</t>
  </si>
  <si>
    <t>Interest</t>
  </si>
  <si>
    <t>Cash</t>
  </si>
  <si>
    <t>Working Capital finance from banks</t>
  </si>
  <si>
    <t>Interest - Long term Loan</t>
  </si>
  <si>
    <t>Interest - Short term Loan</t>
  </si>
  <si>
    <t>Working Capital Finance</t>
  </si>
  <si>
    <t>Project Finance</t>
  </si>
  <si>
    <t>Working Capital finance</t>
  </si>
  <si>
    <t>Interest on Working capital finance</t>
  </si>
  <si>
    <t>Interest on Project Finance</t>
  </si>
  <si>
    <t>Total project Cost</t>
  </si>
  <si>
    <t>Processing Cost</t>
  </si>
  <si>
    <t>Volume of Raw Material</t>
  </si>
  <si>
    <t>Process Cost</t>
  </si>
  <si>
    <t>Input Volume of Raw Material</t>
  </si>
  <si>
    <t>Production Increase Yearly</t>
  </si>
  <si>
    <t>Monthly Output Projection for Next 6 Years</t>
  </si>
  <si>
    <t>Input</t>
  </si>
  <si>
    <t>Selling Price of Main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</si>
</sst>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₹&quot;\ #,##0.00;[Red]&quot;₹&quot;\ \-#,##0.00"/>
    <numFmt numFmtId="43" formatCode="_ * #,##0.00_ ;_ * \-#,##0.00_ ;_ * &quot;-&quot;??_ ;_ @_ 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Helvetica Neue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49" fontId="2" fillId="2" borderId="4" xfId="0" applyNumberFormat="1" applyFont="1" applyFill="1" applyBorder="1" applyAlignment="1">
      <alignment wrapText="1"/>
    </xf>
    <xf numFmtId="49" fontId="2" fillId="2" borderId="6" xfId="0" applyNumberFormat="1" applyFont="1" applyFill="1" applyBorder="1" applyAlignment="1">
      <alignment wrapText="1"/>
    </xf>
    <xf numFmtId="0" fontId="0" fillId="0" borderId="5" xfId="0" applyBorder="1"/>
    <xf numFmtId="0" fontId="0" fillId="0" borderId="8" xfId="0" applyBorder="1"/>
    <xf numFmtId="0" fontId="0" fillId="0" borderId="0" xfId="0" applyFill="1" applyBorder="1"/>
    <xf numFmtId="2" fontId="0" fillId="0" borderId="0" xfId="0" applyNumberFormat="1"/>
    <xf numFmtId="0" fontId="0" fillId="0" borderId="1" xfId="0" applyFill="1" applyBorder="1"/>
    <xf numFmtId="0" fontId="1" fillId="5" borderId="3" xfId="0" applyFont="1" applyFill="1" applyBorder="1"/>
    <xf numFmtId="49" fontId="2" fillId="5" borderId="6" xfId="0" applyNumberFormat="1" applyFont="1" applyFill="1" applyBorder="1" applyAlignment="1">
      <alignment wrapText="1"/>
    </xf>
    <xf numFmtId="0" fontId="1" fillId="5" borderId="7" xfId="0" applyFont="1" applyFill="1" applyBorder="1"/>
    <xf numFmtId="2" fontId="1" fillId="5" borderId="8" xfId="0" applyNumberFormat="1" applyFont="1" applyFill="1" applyBorder="1"/>
    <xf numFmtId="2" fontId="0" fillId="0" borderId="5" xfId="0" applyNumberFormat="1" applyBorder="1"/>
    <xf numFmtId="49" fontId="2" fillId="5" borderId="4" xfId="0" applyNumberFormat="1" applyFont="1" applyFill="1" applyBorder="1" applyAlignment="1">
      <alignment wrapText="1"/>
    </xf>
    <xf numFmtId="0" fontId="1" fillId="5" borderId="1" xfId="0" applyFont="1" applyFill="1" applyBorder="1"/>
    <xf numFmtId="0" fontId="1" fillId="5" borderId="5" xfId="0" applyFont="1" applyFill="1" applyBorder="1"/>
    <xf numFmtId="49" fontId="2" fillId="0" borderId="0" xfId="0" applyNumberFormat="1" applyFont="1" applyFill="1" applyBorder="1" applyAlignment="1">
      <alignment wrapText="1"/>
    </xf>
    <xf numFmtId="0" fontId="0" fillId="0" borderId="7" xfId="0" applyFill="1" applyBorder="1"/>
    <xf numFmtId="49" fontId="2" fillId="5" borderId="11" xfId="0" applyNumberFormat="1" applyFont="1" applyFill="1" applyBorder="1" applyAlignment="1">
      <alignment wrapText="1"/>
    </xf>
    <xf numFmtId="0" fontId="1" fillId="5" borderId="12" xfId="0" applyFont="1" applyFill="1" applyBorder="1"/>
    <xf numFmtId="2" fontId="1" fillId="5" borderId="13" xfId="0" applyNumberFormat="1" applyFont="1" applyFill="1" applyBorder="1"/>
    <xf numFmtId="2" fontId="1" fillId="5" borderId="5" xfId="0" applyNumberFormat="1" applyFont="1" applyFill="1" applyBorder="1"/>
    <xf numFmtId="49" fontId="0" fillId="6" borderId="1" xfId="0" applyNumberFormat="1" applyFill="1" applyBorder="1" applyAlignment="1">
      <alignment wrapText="1"/>
    </xf>
    <xf numFmtId="0" fontId="0" fillId="6" borderId="1" xfId="0" applyFill="1" applyBorder="1"/>
    <xf numFmtId="0" fontId="0" fillId="6" borderId="7" xfId="0" applyFill="1" applyBorder="1"/>
    <xf numFmtId="49" fontId="1" fillId="6" borderId="18" xfId="0" applyNumberFormat="1" applyFont="1" applyFill="1" applyBorder="1" applyAlignment="1">
      <alignment wrapText="1"/>
    </xf>
    <xf numFmtId="0" fontId="1" fillId="6" borderId="18" xfId="0" applyFont="1" applyFill="1" applyBorder="1"/>
    <xf numFmtId="0" fontId="1" fillId="6" borderId="19" xfId="0" applyFont="1" applyFill="1" applyBorder="1"/>
    <xf numFmtId="0" fontId="1" fillId="5" borderId="17" xfId="0" applyFont="1" applyFill="1" applyBorder="1"/>
    <xf numFmtId="0" fontId="1" fillId="5" borderId="19" xfId="0" applyFont="1" applyFill="1" applyBorder="1"/>
    <xf numFmtId="49" fontId="2" fillId="2" borderId="21" xfId="0" applyNumberFormat="1" applyFont="1" applyFill="1" applyBorder="1" applyAlignment="1">
      <alignment wrapText="1"/>
    </xf>
    <xf numFmtId="49" fontId="2" fillId="2" borderId="22" xfId="0" applyNumberFormat="1" applyFont="1" applyFill="1" applyBorder="1" applyAlignment="1">
      <alignment wrapText="1"/>
    </xf>
    <xf numFmtId="49" fontId="2" fillId="5" borderId="20" xfId="0" applyNumberFormat="1" applyFont="1" applyFill="1" applyBorder="1" applyAlignment="1">
      <alignment wrapText="1"/>
    </xf>
    <xf numFmtId="49" fontId="2" fillId="5" borderId="22" xfId="0" applyNumberFormat="1" applyFont="1" applyFill="1" applyBorder="1" applyAlignment="1">
      <alignment wrapText="1"/>
    </xf>
    <xf numFmtId="49" fontId="2" fillId="2" borderId="23" xfId="0" applyNumberFormat="1" applyFont="1" applyFill="1" applyBorder="1" applyAlignment="1">
      <alignment wrapText="1"/>
    </xf>
    <xf numFmtId="49" fontId="1" fillId="6" borderId="24" xfId="0" applyNumberFormat="1" applyFont="1" applyFill="1" applyBorder="1" applyAlignment="1">
      <alignment wrapText="1"/>
    </xf>
    <xf numFmtId="49" fontId="0" fillId="6" borderId="12" xfId="0" applyNumberFormat="1" applyFill="1" applyBorder="1" applyAlignment="1">
      <alignment wrapText="1"/>
    </xf>
    <xf numFmtId="49" fontId="2" fillId="2" borderId="10" xfId="0" applyNumberFormat="1" applyFont="1" applyFill="1" applyBorder="1" applyAlignment="1">
      <alignment vertical="top"/>
    </xf>
    <xf numFmtId="49" fontId="2" fillId="2" borderId="25" xfId="0" applyNumberFormat="1" applyFont="1" applyFill="1" applyBorder="1" applyAlignment="1">
      <alignment vertical="top"/>
    </xf>
    <xf numFmtId="49" fontId="2" fillId="2" borderId="15" xfId="0" applyNumberFormat="1" applyFont="1" applyFill="1" applyBorder="1" applyAlignment="1">
      <alignment vertical="top"/>
    </xf>
    <xf numFmtId="0" fontId="1" fillId="2" borderId="2" xfId="0" applyFont="1" applyFill="1" applyBorder="1"/>
    <xf numFmtId="0" fontId="1" fillId="2" borderId="4" xfId="0" applyFont="1" applyFill="1" applyBorder="1"/>
    <xf numFmtId="0" fontId="0" fillId="7" borderId="1" xfId="0" applyFill="1" applyBorder="1"/>
    <xf numFmtId="0" fontId="1" fillId="9" borderId="4" xfId="0" applyFont="1" applyFill="1" applyBorder="1"/>
    <xf numFmtId="0" fontId="1" fillId="9" borderId="6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9" xfId="0" applyFont="1" applyFill="1" applyBorder="1"/>
    <xf numFmtId="8" fontId="0" fillId="0" borderId="0" xfId="0" applyNumberFormat="1"/>
    <xf numFmtId="9" fontId="1" fillId="7" borderId="28" xfId="0" applyNumberFormat="1" applyFont="1" applyFill="1" applyBorder="1"/>
    <xf numFmtId="0" fontId="1" fillId="7" borderId="10" xfId="0" applyFont="1" applyFill="1" applyBorder="1"/>
    <xf numFmtId="49" fontId="2" fillId="2" borderId="2" xfId="0" applyNumberFormat="1" applyFont="1" applyFill="1" applyBorder="1" applyAlignment="1"/>
    <xf numFmtId="49" fontId="2" fillId="2" borderId="4" xfId="0" applyNumberFormat="1" applyFont="1" applyFill="1" applyBorder="1" applyAlignment="1"/>
    <xf numFmtId="49" fontId="2" fillId="2" borderId="6" xfId="0" applyNumberFormat="1" applyFont="1" applyFill="1" applyBorder="1" applyAlignment="1"/>
    <xf numFmtId="49" fontId="1" fillId="10" borderId="3" xfId="0" applyNumberFormat="1" applyFont="1" applyFill="1" applyBorder="1" applyAlignment="1"/>
    <xf numFmtId="49" fontId="0" fillId="10" borderId="3" xfId="0" applyNumberFormat="1" applyFill="1" applyBorder="1" applyAlignment="1"/>
    <xf numFmtId="49" fontId="1" fillId="10" borderId="1" xfId="0" applyNumberFormat="1" applyFont="1" applyFill="1" applyBorder="1" applyAlignment="1"/>
    <xf numFmtId="49" fontId="0" fillId="10" borderId="1" xfId="0" applyNumberFormat="1" applyFill="1" applyBorder="1" applyAlignment="1"/>
    <xf numFmtId="0" fontId="1" fillId="10" borderId="1" xfId="0" applyFont="1" applyFill="1" applyBorder="1" applyAlignment="1"/>
    <xf numFmtId="0" fontId="0" fillId="10" borderId="1" xfId="0" applyFill="1" applyBorder="1" applyAlignment="1"/>
    <xf numFmtId="0" fontId="1" fillId="10" borderId="7" xfId="0" applyFont="1" applyFill="1" applyBorder="1" applyAlignment="1"/>
    <xf numFmtId="0" fontId="0" fillId="0" borderId="4" xfId="0" applyBorder="1" applyAlignment="1">
      <alignment wrapText="1"/>
    </xf>
    <xf numFmtId="49" fontId="2" fillId="2" borderId="11" xfId="0" applyNumberFormat="1" applyFont="1" applyFill="1" applyBorder="1" applyAlignment="1">
      <alignment wrapText="1"/>
    </xf>
    <xf numFmtId="0" fontId="0" fillId="0" borderId="12" xfId="0" applyFill="1" applyBorder="1"/>
    <xf numFmtId="0" fontId="0" fillId="0" borderId="13" xfId="0" applyBorder="1"/>
    <xf numFmtId="49" fontId="2" fillId="2" borderId="14" xfId="0" applyNumberFormat="1" applyFont="1" applyFill="1" applyBorder="1" applyAlignment="1">
      <alignment wrapText="1"/>
    </xf>
    <xf numFmtId="49" fontId="2" fillId="2" borderId="15" xfId="0" applyNumberFormat="1" applyFont="1" applyFill="1" applyBorder="1" applyAlignment="1">
      <alignment wrapText="1"/>
    </xf>
    <xf numFmtId="49" fontId="2" fillId="2" borderId="16" xfId="0" applyNumberFormat="1" applyFont="1" applyFill="1" applyBorder="1" applyAlignment="1">
      <alignment wrapText="1"/>
    </xf>
    <xf numFmtId="9" fontId="0" fillId="0" borderId="0" xfId="0" applyNumberFormat="1"/>
    <xf numFmtId="9" fontId="0" fillId="0" borderId="0" xfId="0" applyNumberFormat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ill="1"/>
    <xf numFmtId="0" fontId="1" fillId="0" borderId="0" xfId="0" applyFont="1" applyFill="1" applyBorder="1" applyAlignment="1"/>
    <xf numFmtId="0" fontId="1" fillId="8" borderId="1" xfId="0" applyFont="1" applyFill="1" applyBorder="1" applyAlignment="1">
      <alignment wrapText="1"/>
    </xf>
    <xf numFmtId="0" fontId="0" fillId="0" borderId="0" xfId="0" applyNumberFormat="1"/>
    <xf numFmtId="0" fontId="1" fillId="8" borderId="2" xfId="0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0" fontId="0" fillId="0" borderId="4" xfId="0" applyBorder="1"/>
    <xf numFmtId="0" fontId="0" fillId="0" borderId="6" xfId="0" applyBorder="1"/>
    <xf numFmtId="0" fontId="0" fillId="0" borderId="1" xfId="0" applyNumberFormat="1" applyBorder="1"/>
    <xf numFmtId="0" fontId="0" fillId="0" borderId="1" xfId="0" applyNumberFormat="1" applyBorder="1" applyAlignment="1">
      <alignment wrapText="1"/>
    </xf>
    <xf numFmtId="1" fontId="0" fillId="0" borderId="1" xfId="0" applyNumberFormat="1" applyBorder="1"/>
    <xf numFmtId="0" fontId="1" fillId="8" borderId="4" xfId="0" applyFont="1" applyFill="1" applyBorder="1" applyAlignment="1">
      <alignment wrapText="1"/>
    </xf>
    <xf numFmtId="0" fontId="1" fillId="8" borderId="5" xfId="0" applyFont="1" applyFill="1" applyBorder="1" applyAlignment="1">
      <alignment wrapText="1"/>
    </xf>
    <xf numFmtId="0" fontId="0" fillId="0" borderId="5" xfId="0" applyFill="1" applyBorder="1"/>
    <xf numFmtId="0" fontId="0" fillId="0" borderId="6" xfId="0" applyBorder="1" applyAlignment="1">
      <alignment wrapText="1"/>
    </xf>
    <xf numFmtId="49" fontId="2" fillId="2" borderId="33" xfId="0" applyNumberFormat="1" applyFont="1" applyFill="1" applyBorder="1" applyAlignment="1">
      <alignment wrapText="1"/>
    </xf>
    <xf numFmtId="0" fontId="1" fillId="6" borderId="34" xfId="0" applyFont="1" applyFill="1" applyBorder="1"/>
    <xf numFmtId="0" fontId="0" fillId="6" borderId="32" xfId="0" applyFill="1" applyBorder="1"/>
    <xf numFmtId="1" fontId="0" fillId="0" borderId="7" xfId="0" applyNumberFormat="1" applyBorder="1"/>
    <xf numFmtId="49" fontId="2" fillId="2" borderId="36" xfId="0" applyNumberFormat="1" applyFont="1" applyFill="1" applyBorder="1" applyAlignment="1">
      <alignment wrapText="1"/>
    </xf>
    <xf numFmtId="0" fontId="0" fillId="0" borderId="32" xfId="0" applyFill="1" applyBorder="1"/>
    <xf numFmtId="2" fontId="0" fillId="0" borderId="35" xfId="0" applyNumberFormat="1" applyBorder="1"/>
    <xf numFmtId="43" fontId="1" fillId="2" borderId="1" xfId="1" applyFont="1" applyFill="1" applyBorder="1"/>
    <xf numFmtId="43" fontId="0" fillId="7" borderId="1" xfId="1" applyFont="1" applyFill="1" applyBorder="1"/>
    <xf numFmtId="43" fontId="0" fillId="7" borderId="5" xfId="1" applyFont="1" applyFill="1" applyBorder="1"/>
    <xf numFmtId="43" fontId="1" fillId="9" borderId="1" xfId="1" applyFont="1" applyFill="1" applyBorder="1"/>
    <xf numFmtId="43" fontId="1" fillId="9" borderId="5" xfId="1" applyFont="1" applyFill="1" applyBorder="1"/>
    <xf numFmtId="43" fontId="1" fillId="9" borderId="7" xfId="1" applyFont="1" applyFill="1" applyBorder="1"/>
    <xf numFmtId="43" fontId="1" fillId="9" borderId="8" xfId="1" applyFont="1" applyFill="1" applyBorder="1"/>
    <xf numFmtId="0" fontId="1" fillId="11" borderId="26" xfId="0" applyFont="1" applyFill="1" applyBorder="1"/>
    <xf numFmtId="0" fontId="1" fillId="11" borderId="28" xfId="0" applyFont="1" applyFill="1" applyBorder="1"/>
    <xf numFmtId="0" fontId="1" fillId="8" borderId="3" xfId="0" applyFon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1" fontId="0" fillId="0" borderId="35" xfId="0" applyNumberFormat="1" applyBorder="1"/>
    <xf numFmtId="0" fontId="1" fillId="8" borderId="14" xfId="0" applyFont="1" applyFill="1" applyBorder="1"/>
    <xf numFmtId="0" fontId="0" fillId="0" borderId="1" xfId="0" applyBorder="1"/>
    <xf numFmtId="0" fontId="1" fillId="8" borderId="2" xfId="0" applyFont="1" applyFill="1" applyBorder="1"/>
    <xf numFmtId="0" fontId="1" fillId="8" borderId="3" xfId="0" applyFont="1" applyFill="1" applyBorder="1"/>
    <xf numFmtId="0" fontId="1" fillId="8" borderId="9" xfId="0" applyFont="1" applyFill="1" applyBorder="1"/>
    <xf numFmtId="1" fontId="0" fillId="0" borderId="5" xfId="0" applyNumberFormat="1" applyBorder="1"/>
    <xf numFmtId="0" fontId="0" fillId="0" borderId="7" xfId="0" applyBorder="1"/>
    <xf numFmtId="1" fontId="0" fillId="0" borderId="8" xfId="0" applyNumberFormat="1" applyBorder="1"/>
    <xf numFmtId="1" fontId="0" fillId="7" borderId="1" xfId="0" applyNumberFormat="1" applyFill="1" applyBorder="1"/>
    <xf numFmtId="1" fontId="0" fillId="7" borderId="5" xfId="0" applyNumberFormat="1" applyFill="1" applyBorder="1"/>
    <xf numFmtId="0" fontId="1" fillId="7" borderId="2" xfId="0" applyFont="1" applyFill="1" applyBorder="1"/>
    <xf numFmtId="0" fontId="1" fillId="7" borderId="4" xfId="0" applyFont="1" applyFill="1" applyBorder="1" applyAlignment="1">
      <alignment wrapText="1"/>
    </xf>
    <xf numFmtId="0" fontId="1" fillId="7" borderId="6" xfId="0" applyFont="1" applyFill="1" applyBorder="1"/>
    <xf numFmtId="0" fontId="1" fillId="7" borderId="4" xfId="0" applyFont="1" applyFill="1" applyBorder="1"/>
    <xf numFmtId="0" fontId="1" fillId="7" borderId="1" xfId="0" applyFont="1" applyFill="1" applyBorder="1" applyAlignment="1">
      <alignment wrapText="1"/>
    </xf>
    <xf numFmtId="0" fontId="1" fillId="7" borderId="7" xfId="0" applyFont="1" applyFill="1" applyBorder="1" applyAlignment="1">
      <alignment wrapText="1"/>
    </xf>
    <xf numFmtId="0" fontId="1" fillId="7" borderId="4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vertical="top"/>
    </xf>
    <xf numFmtId="0" fontId="0" fillId="0" borderId="0" xfId="0" applyFill="1" applyBorder="1" applyAlignment="1"/>
    <xf numFmtId="0" fontId="0" fillId="0" borderId="0" xfId="0" applyNumberFormat="1" applyFill="1" applyBorder="1" applyAlignment="1"/>
    <xf numFmtId="9" fontId="0" fillId="0" borderId="0" xfId="0" applyNumberFormat="1" applyFill="1" applyBorder="1" applyAlignment="1"/>
    <xf numFmtId="49" fontId="2" fillId="2" borderId="28" xfId="0" applyNumberFormat="1" applyFont="1" applyFill="1" applyBorder="1" applyAlignment="1">
      <alignment vertical="top"/>
    </xf>
    <xf numFmtId="0" fontId="0" fillId="3" borderId="40" xfId="0" applyFill="1" applyBorder="1" applyAlignment="1">
      <alignment wrapText="1"/>
    </xf>
    <xf numFmtId="0" fontId="0" fillId="3" borderId="41" xfId="0" applyFill="1" applyBorder="1" applyAlignment="1">
      <alignment wrapText="1"/>
    </xf>
    <xf numFmtId="0" fontId="0" fillId="3" borderId="41" xfId="0" applyNumberFormat="1" applyFill="1" applyBorder="1"/>
    <xf numFmtId="0" fontId="0" fillId="3" borderId="41" xfId="0" applyFill="1" applyBorder="1"/>
    <xf numFmtId="0" fontId="0" fillId="9" borderId="41" xfId="0" applyFill="1" applyBorder="1"/>
    <xf numFmtId="9" fontId="0" fillId="3" borderId="41" xfId="0" applyNumberFormat="1" applyFill="1" applyBorder="1"/>
    <xf numFmtId="2" fontId="0" fillId="9" borderId="41" xfId="0" applyNumberFormat="1" applyFill="1" applyBorder="1"/>
    <xf numFmtId="0" fontId="0" fillId="4" borderId="41" xfId="0" applyFill="1" applyBorder="1"/>
    <xf numFmtId="2" fontId="0" fillId="4" borderId="41" xfId="0" applyNumberFormat="1" applyFill="1" applyBorder="1"/>
    <xf numFmtId="2" fontId="0" fillId="4" borderId="42" xfId="0" applyNumberFormat="1" applyFill="1" applyBorder="1"/>
    <xf numFmtId="0" fontId="0" fillId="4" borderId="43" xfId="0" applyFill="1" applyBorder="1"/>
    <xf numFmtId="2" fontId="1" fillId="5" borderId="44" xfId="0" applyNumberFormat="1" applyFont="1" applyFill="1" applyBorder="1"/>
    <xf numFmtId="2" fontId="1" fillId="5" borderId="43" xfId="0" applyNumberFormat="1" applyFont="1" applyFill="1" applyBorder="1"/>
    <xf numFmtId="49" fontId="2" fillId="2" borderId="29" xfId="0" applyNumberFormat="1" applyFont="1" applyFill="1" applyBorder="1" applyAlignment="1">
      <alignment horizontal="center" vertical="top"/>
    </xf>
    <xf numFmtId="49" fontId="2" fillId="2" borderId="30" xfId="0" applyNumberFormat="1" applyFont="1" applyFill="1" applyBorder="1" applyAlignment="1">
      <alignment horizontal="center" vertical="top"/>
    </xf>
    <xf numFmtId="49" fontId="2" fillId="2" borderId="31" xfId="0" applyNumberFormat="1" applyFont="1" applyFill="1" applyBorder="1" applyAlignment="1">
      <alignment horizontal="center" vertical="top"/>
    </xf>
    <xf numFmtId="49" fontId="2" fillId="2" borderId="39" xfId="0" applyNumberFormat="1" applyFont="1" applyFill="1" applyBorder="1" applyAlignment="1">
      <alignment horizontal="center" vertical="top"/>
    </xf>
    <xf numFmtId="49" fontId="2" fillId="2" borderId="14" xfId="0" applyNumberFormat="1" applyFont="1" applyFill="1" applyBorder="1"/>
    <xf numFmtId="0" fontId="1" fillId="10" borderId="15" xfId="0" applyFont="1" applyFill="1" applyBorder="1"/>
    <xf numFmtId="0" fontId="0" fillId="0" borderId="16" xfId="0" applyBorder="1" applyProtection="1">
      <protection locked="0"/>
    </xf>
    <xf numFmtId="0" fontId="1" fillId="0" borderId="0" xfId="0" applyFont="1" applyFill="1" applyBorder="1" applyAlignment="1">
      <alignment horizontal="center" wrapText="1"/>
    </xf>
    <xf numFmtId="0" fontId="1" fillId="8" borderId="37" xfId="0" applyFont="1" applyFill="1" applyBorder="1" applyAlignment="1">
      <alignment horizontal="center"/>
    </xf>
    <xf numFmtId="0" fontId="1" fillId="8" borderId="38" xfId="0" applyFont="1" applyFill="1" applyBorder="1" applyAlignment="1">
      <alignment horizontal="center"/>
    </xf>
    <xf numFmtId="0" fontId="1" fillId="8" borderId="39" xfId="0" applyFont="1" applyFill="1" applyBorder="1" applyAlignment="1">
      <alignment horizontal="center"/>
    </xf>
    <xf numFmtId="0" fontId="1" fillId="8" borderId="26" xfId="0" applyFont="1" applyFill="1" applyBorder="1" applyAlignment="1">
      <alignment horizontal="center"/>
    </xf>
    <xf numFmtId="0" fontId="1" fillId="8" borderId="28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0" borderId="20" xfId="0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9" fontId="0" fillId="0" borderId="21" xfId="0" applyNumberFormat="1" applyFill="1" applyBorder="1" applyAlignment="1" applyProtection="1">
      <protection locked="0"/>
    </xf>
    <xf numFmtId="0" fontId="0" fillId="0" borderId="21" xfId="0" applyNumberFormat="1" applyFill="1" applyBorder="1" applyAlignment="1" applyProtection="1">
      <protection locked="0"/>
    </xf>
    <xf numFmtId="0" fontId="0" fillId="0" borderId="21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9" fontId="0" fillId="0" borderId="5" xfId="0" applyNumberFormat="1" applyBorder="1" applyProtection="1">
      <protection locked="0"/>
    </xf>
    <xf numFmtId="9" fontId="0" fillId="0" borderId="5" xfId="0" applyNumberFormat="1" applyBorder="1" applyAlignment="1" applyProtection="1">
      <alignment wrapText="1"/>
      <protection locked="0"/>
    </xf>
    <xf numFmtId="9" fontId="0" fillId="0" borderId="8" xfId="0" applyNumberFormat="1" applyBorder="1" applyProtection="1">
      <protection locked="0"/>
    </xf>
    <xf numFmtId="9" fontId="0" fillId="0" borderId="9" xfId="0" applyNumberFormat="1" applyBorder="1" applyProtection="1">
      <protection locked="0"/>
    </xf>
    <xf numFmtId="9" fontId="0" fillId="0" borderId="16" xfId="0" applyNumberForma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27080-E997-4966-B245-58C166774C5F}">
  <dimension ref="A2:M40"/>
  <sheetViews>
    <sheetView tabSelected="1" workbookViewId="0">
      <selection activeCell="E2" sqref="E2"/>
    </sheetView>
  </sheetViews>
  <sheetFormatPr defaultRowHeight="15"/>
  <cols>
    <col min="1" max="1" width="20.42578125" customWidth="1"/>
    <col min="2" max="2" width="16.28515625" customWidth="1"/>
    <col min="3" max="3" width="13.7109375" customWidth="1"/>
    <col min="4" max="4" width="18.5703125" customWidth="1"/>
    <col min="5" max="5" width="16.85546875" customWidth="1"/>
    <col min="6" max="6" width="13.5703125" customWidth="1"/>
    <col min="7" max="7" width="14.28515625" customWidth="1"/>
    <col min="9" max="9" width="30.5703125" customWidth="1"/>
    <col min="10" max="10" width="10.5703125" bestFit="1" customWidth="1"/>
  </cols>
  <sheetData>
    <row r="2" spans="1:7" ht="15.75" thickBot="1"/>
    <row r="3" spans="1:7" ht="15.75" thickBot="1">
      <c r="A3" s="155" t="s">
        <v>79</v>
      </c>
      <c r="B3" s="157"/>
      <c r="C3" s="157"/>
      <c r="D3" s="156"/>
      <c r="E3" s="75"/>
      <c r="F3" s="75"/>
      <c r="G3" s="75"/>
    </row>
    <row r="4" spans="1:7" ht="15.75" thickBot="1">
      <c r="A4" s="144" t="s">
        <v>0</v>
      </c>
      <c r="B4" s="145" t="s">
        <v>1</v>
      </c>
      <c r="C4" s="146" t="s">
        <v>41</v>
      </c>
      <c r="D4" s="147" t="s">
        <v>103</v>
      </c>
      <c r="E4" s="126"/>
      <c r="F4" s="126"/>
      <c r="G4" s="126"/>
    </row>
    <row r="5" spans="1:7" s="1" customFormat="1">
      <c r="A5" s="54" t="s">
        <v>8</v>
      </c>
      <c r="B5" s="57" t="s">
        <v>4</v>
      </c>
      <c r="C5" s="58"/>
      <c r="D5" s="167">
        <v>200</v>
      </c>
      <c r="E5" s="127"/>
      <c r="F5" s="127"/>
      <c r="G5" s="127"/>
    </row>
    <row r="6" spans="1:7" s="1" customFormat="1">
      <c r="A6" s="55" t="s">
        <v>3</v>
      </c>
      <c r="B6" s="59" t="s">
        <v>2</v>
      </c>
      <c r="C6" s="60"/>
      <c r="D6" s="168">
        <v>200000</v>
      </c>
      <c r="E6" s="127"/>
      <c r="F6" s="127"/>
      <c r="G6" s="127"/>
    </row>
    <row r="7" spans="1:7" s="1" customFormat="1">
      <c r="A7" s="55" t="s">
        <v>6</v>
      </c>
      <c r="B7" s="59" t="s">
        <v>7</v>
      </c>
      <c r="C7" s="60"/>
      <c r="D7" s="168">
        <v>10</v>
      </c>
      <c r="E7" s="127"/>
      <c r="F7" s="127"/>
      <c r="G7" s="127"/>
    </row>
    <row r="8" spans="1:7" s="1" customFormat="1">
      <c r="A8" s="55" t="s">
        <v>82</v>
      </c>
      <c r="B8" s="61" t="s">
        <v>19</v>
      </c>
      <c r="C8" s="62"/>
      <c r="D8" s="169">
        <v>0.05</v>
      </c>
      <c r="E8" s="127"/>
      <c r="F8" s="127"/>
      <c r="G8" s="127"/>
    </row>
    <row r="9" spans="1:7" s="1" customFormat="1">
      <c r="A9" s="55" t="s">
        <v>9</v>
      </c>
      <c r="B9" s="59" t="s">
        <v>5</v>
      </c>
      <c r="C9" s="60"/>
      <c r="D9" s="168">
        <v>5</v>
      </c>
      <c r="E9" s="127"/>
      <c r="F9" s="127"/>
      <c r="G9" s="127"/>
    </row>
    <row r="10" spans="1:7" s="1" customFormat="1">
      <c r="A10" s="55" t="s">
        <v>23</v>
      </c>
      <c r="B10" s="59" t="s">
        <v>10</v>
      </c>
      <c r="C10" s="60"/>
      <c r="D10" s="168">
        <v>25</v>
      </c>
      <c r="E10" s="127"/>
      <c r="F10" s="127"/>
      <c r="G10" s="127"/>
    </row>
    <row r="11" spans="1:7" s="1" customFormat="1">
      <c r="A11" s="55" t="s">
        <v>30</v>
      </c>
      <c r="B11" s="59" t="s">
        <v>31</v>
      </c>
      <c r="C11" s="60"/>
      <c r="D11" s="168">
        <v>2</v>
      </c>
      <c r="E11" s="127"/>
      <c r="F11" s="127"/>
      <c r="G11" s="127"/>
    </row>
    <row r="12" spans="1:7" s="1" customFormat="1">
      <c r="A12" s="55" t="s">
        <v>32</v>
      </c>
      <c r="B12" s="59" t="s">
        <v>2</v>
      </c>
      <c r="C12" s="60"/>
      <c r="D12" s="168">
        <v>300</v>
      </c>
      <c r="E12" s="127"/>
      <c r="F12" s="127"/>
      <c r="G12" s="127"/>
    </row>
    <row r="13" spans="1:7" s="1" customFormat="1">
      <c r="A13" s="55" t="s">
        <v>12</v>
      </c>
      <c r="B13" s="61" t="s">
        <v>13</v>
      </c>
      <c r="C13" s="62"/>
      <c r="D13" s="170">
        <v>55</v>
      </c>
      <c r="E13" s="128"/>
      <c r="F13" s="128"/>
      <c r="G13" s="128"/>
    </row>
    <row r="14" spans="1:7" s="1" customFormat="1">
      <c r="A14" s="55" t="s">
        <v>98</v>
      </c>
      <c r="B14" s="61" t="s">
        <v>11</v>
      </c>
      <c r="C14" s="62"/>
      <c r="D14" s="170">
        <v>12500</v>
      </c>
      <c r="E14" s="128"/>
      <c r="F14" s="128"/>
      <c r="G14" s="128"/>
    </row>
    <row r="15" spans="1:7" s="1" customFormat="1">
      <c r="A15" s="55" t="s">
        <v>14</v>
      </c>
      <c r="B15" s="61" t="s">
        <v>19</v>
      </c>
      <c r="C15" s="62"/>
      <c r="D15" s="169">
        <v>0.8</v>
      </c>
      <c r="E15" s="129"/>
      <c r="F15" s="129"/>
      <c r="G15" s="129"/>
    </row>
    <row r="16" spans="1:7" s="1" customFormat="1">
      <c r="A16" s="55" t="s">
        <v>97</v>
      </c>
      <c r="B16" s="61" t="s">
        <v>13</v>
      </c>
      <c r="C16" s="62"/>
      <c r="D16" s="170">
        <v>40</v>
      </c>
      <c r="E16" s="128"/>
      <c r="F16" s="128"/>
      <c r="G16" s="128"/>
    </row>
    <row r="17" spans="1:10" s="1" customFormat="1">
      <c r="A17" s="55" t="s">
        <v>33</v>
      </c>
      <c r="B17" s="61" t="s">
        <v>2</v>
      </c>
      <c r="C17" s="62"/>
      <c r="D17" s="168">
        <v>5000</v>
      </c>
      <c r="E17" s="127"/>
      <c r="F17" s="127"/>
      <c r="G17" s="127"/>
    </row>
    <row r="18" spans="1:10" s="1" customFormat="1">
      <c r="A18" s="55" t="s">
        <v>34</v>
      </c>
      <c r="B18" s="61" t="s">
        <v>31</v>
      </c>
      <c r="C18" s="62"/>
      <c r="D18" s="168">
        <v>2</v>
      </c>
      <c r="E18" s="127"/>
      <c r="F18" s="127"/>
      <c r="G18" s="127"/>
    </row>
    <row r="19" spans="1:10" s="1" customFormat="1">
      <c r="A19" s="55" t="s">
        <v>77</v>
      </c>
      <c r="B19" s="61" t="s">
        <v>19</v>
      </c>
      <c r="C19" s="62"/>
      <c r="D19" s="169">
        <v>0.1</v>
      </c>
      <c r="E19" s="129"/>
      <c r="F19" s="129"/>
      <c r="G19" s="129"/>
    </row>
    <row r="20" spans="1:10" s="1" customFormat="1">
      <c r="A20" s="55" t="s">
        <v>16</v>
      </c>
      <c r="B20" s="61" t="s">
        <v>19</v>
      </c>
      <c r="C20" s="62"/>
      <c r="D20" s="169">
        <v>0</v>
      </c>
      <c r="E20" s="129"/>
      <c r="F20" s="129"/>
      <c r="G20" s="129"/>
    </row>
    <row r="21" spans="1:10" s="1" customFormat="1">
      <c r="A21" s="55" t="s">
        <v>36</v>
      </c>
      <c r="B21" s="61" t="s">
        <v>11</v>
      </c>
      <c r="C21" s="62"/>
      <c r="D21" s="168">
        <v>5</v>
      </c>
      <c r="E21" s="127"/>
      <c r="F21" s="127"/>
      <c r="G21" s="127"/>
    </row>
    <row r="22" spans="1:10">
      <c r="A22" s="55" t="s">
        <v>24</v>
      </c>
      <c r="B22" s="61" t="s">
        <v>2</v>
      </c>
      <c r="C22" s="61" t="s">
        <v>42</v>
      </c>
      <c r="D22" s="171">
        <v>10000</v>
      </c>
      <c r="E22" s="8"/>
      <c r="F22" s="8"/>
      <c r="G22" s="8"/>
    </row>
    <row r="23" spans="1:10">
      <c r="A23" s="55" t="s">
        <v>25</v>
      </c>
      <c r="B23" s="61" t="s">
        <v>2</v>
      </c>
      <c r="C23" s="61" t="s">
        <v>42</v>
      </c>
      <c r="D23" s="171">
        <v>10000</v>
      </c>
      <c r="E23" s="8"/>
      <c r="F23" s="8"/>
      <c r="G23" s="8"/>
    </row>
    <row r="24" spans="1:10">
      <c r="A24" s="55" t="s">
        <v>26</v>
      </c>
      <c r="B24" s="61" t="s">
        <v>2</v>
      </c>
      <c r="C24" s="61" t="s">
        <v>42</v>
      </c>
      <c r="D24" s="171">
        <v>20000</v>
      </c>
      <c r="E24" s="8"/>
      <c r="F24" s="8"/>
      <c r="G24" s="8"/>
    </row>
    <row r="25" spans="1:10">
      <c r="A25" s="55" t="s">
        <v>27</v>
      </c>
      <c r="B25" s="61" t="s">
        <v>2</v>
      </c>
      <c r="C25" s="61" t="s">
        <v>43</v>
      </c>
      <c r="D25" s="171">
        <v>2000</v>
      </c>
      <c r="E25" s="8"/>
      <c r="F25" s="8"/>
      <c r="G25" s="8"/>
    </row>
    <row r="26" spans="1:10">
      <c r="A26" s="55" t="s">
        <v>28</v>
      </c>
      <c r="B26" s="61" t="s">
        <v>2</v>
      </c>
      <c r="C26" s="61" t="s">
        <v>43</v>
      </c>
      <c r="D26" s="171">
        <v>200</v>
      </c>
      <c r="E26" s="8"/>
      <c r="F26" s="8"/>
      <c r="G26" s="8"/>
    </row>
    <row r="27" spans="1:10">
      <c r="A27" s="55" t="s">
        <v>35</v>
      </c>
      <c r="B27" s="61" t="s">
        <v>2</v>
      </c>
      <c r="C27" s="61" t="s">
        <v>42</v>
      </c>
      <c r="D27" s="171">
        <v>200</v>
      </c>
      <c r="E27" s="8"/>
      <c r="F27" s="8"/>
      <c r="G27" s="8"/>
    </row>
    <row r="28" spans="1:10" ht="15.75" thickBot="1">
      <c r="A28" s="56" t="s">
        <v>38</v>
      </c>
      <c r="B28" s="63" t="s">
        <v>2</v>
      </c>
      <c r="C28" s="63" t="s">
        <v>42</v>
      </c>
      <c r="D28" s="172">
        <v>7000</v>
      </c>
      <c r="E28" s="8"/>
      <c r="F28" s="8"/>
      <c r="G28" s="8"/>
    </row>
    <row r="29" spans="1:10" ht="15.75" thickBot="1">
      <c r="A29" s="148" t="s">
        <v>104</v>
      </c>
      <c r="B29" s="149" t="s">
        <v>2</v>
      </c>
      <c r="C29" s="149"/>
      <c r="D29" s="150">
        <v>120</v>
      </c>
    </row>
    <row r="31" spans="1:10" ht="15.75" thickBot="1"/>
    <row r="32" spans="1:10" ht="14.25" customHeight="1" thickBot="1">
      <c r="A32" s="152" t="s">
        <v>78</v>
      </c>
      <c r="B32" s="153"/>
      <c r="C32" s="154"/>
      <c r="D32" s="155" t="s">
        <v>92</v>
      </c>
      <c r="E32" s="156"/>
      <c r="F32" s="75"/>
      <c r="G32" s="75"/>
      <c r="J32" s="9"/>
    </row>
    <row r="33" spans="1:13">
      <c r="A33" s="78" t="s">
        <v>67</v>
      </c>
      <c r="B33" s="105" t="s">
        <v>0</v>
      </c>
      <c r="C33" s="79" t="s">
        <v>29</v>
      </c>
      <c r="D33" s="78" t="s">
        <v>0</v>
      </c>
      <c r="E33" s="79" t="s">
        <v>85</v>
      </c>
      <c r="F33" s="73"/>
      <c r="G33" s="73"/>
      <c r="I33" s="73"/>
      <c r="J33" s="73"/>
      <c r="K33" s="73"/>
      <c r="L33" s="73"/>
      <c r="M33" s="74"/>
    </row>
    <row r="34" spans="1:13" ht="30">
      <c r="A34" s="124">
        <v>1</v>
      </c>
      <c r="B34" s="122" t="s">
        <v>68</v>
      </c>
      <c r="C34" s="173">
        <v>0</v>
      </c>
      <c r="D34" s="121" t="s">
        <v>83</v>
      </c>
      <c r="E34" s="175">
        <v>0.65</v>
      </c>
      <c r="J34" s="71"/>
    </row>
    <row r="35" spans="1:13" s="2" customFormat="1" ht="27.75" customHeight="1">
      <c r="A35" s="124">
        <v>2</v>
      </c>
      <c r="B35" s="122" t="s">
        <v>69</v>
      </c>
      <c r="C35" s="173">
        <v>200000</v>
      </c>
      <c r="D35" s="119" t="s">
        <v>84</v>
      </c>
      <c r="E35" s="176">
        <v>0.35</v>
      </c>
      <c r="J35" s="72"/>
    </row>
    <row r="36" spans="1:13" ht="30.75" thickBot="1">
      <c r="A36" s="124">
        <v>3</v>
      </c>
      <c r="B36" s="122" t="s">
        <v>70</v>
      </c>
      <c r="C36" s="173">
        <v>200000</v>
      </c>
      <c r="D36" s="120" t="s">
        <v>89</v>
      </c>
      <c r="E36" s="177">
        <v>0.06</v>
      </c>
      <c r="J36" s="71"/>
    </row>
    <row r="37" spans="1:13" ht="30.75" thickBot="1">
      <c r="A37" s="124">
        <v>4</v>
      </c>
      <c r="B37" s="122" t="s">
        <v>71</v>
      </c>
      <c r="C37" s="173">
        <v>100000</v>
      </c>
      <c r="D37" s="155" t="s">
        <v>91</v>
      </c>
      <c r="E37" s="156"/>
    </row>
    <row r="38" spans="1:13" ht="45.75" thickBot="1">
      <c r="A38" s="125">
        <v>6</v>
      </c>
      <c r="B38" s="123" t="s">
        <v>72</v>
      </c>
      <c r="C38" s="174">
        <v>500000</v>
      </c>
      <c r="D38" s="118" t="s">
        <v>87</v>
      </c>
      <c r="E38" s="178">
        <v>0.65</v>
      </c>
    </row>
    <row r="39" spans="1:13" ht="29.25" customHeight="1" thickBot="1">
      <c r="A39" s="151"/>
      <c r="B39" s="151"/>
      <c r="C39" s="73"/>
      <c r="D39" s="119" t="s">
        <v>88</v>
      </c>
      <c r="E39" s="176">
        <v>0.35</v>
      </c>
    </row>
    <row r="40" spans="1:13" ht="15.75" thickBot="1">
      <c r="A40" s="108" t="s">
        <v>101</v>
      </c>
      <c r="B40" s="179">
        <v>0.15</v>
      </c>
      <c r="D40" s="120" t="s">
        <v>90</v>
      </c>
      <c r="E40" s="177">
        <v>0.09</v>
      </c>
    </row>
  </sheetData>
  <sheetProtection algorithmName="SHA-512" hashValue="mujqaC4WlmrIniFRDBFFi3sWNzvEcuDZ0/OLYe26XsVrCtAtgQgvVkQQVtcIvadLoDb566q1olKOjFuHmJZHQg==" saltValue="hXdwXXRvkT6EOcfV/cU0Kw==" spinCount="100000" sheet="1" objects="1" scenarios="1"/>
  <mergeCells count="5">
    <mergeCell ref="A39:B39"/>
    <mergeCell ref="A32:C32"/>
    <mergeCell ref="D37:E37"/>
    <mergeCell ref="D32:E32"/>
    <mergeCell ref="A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DCADE-4D3A-4F96-8C86-ED793A82F5B0}">
  <dimension ref="A2:I55"/>
  <sheetViews>
    <sheetView zoomScaleNormal="100" workbookViewId="0">
      <selection activeCell="E46" sqref="E46"/>
    </sheetView>
  </sheetViews>
  <sheetFormatPr defaultRowHeight="15"/>
  <cols>
    <col min="1" max="1" width="27.85546875" bestFit="1" customWidth="1"/>
    <col min="2" max="3" width="15.5703125" customWidth="1"/>
    <col min="4" max="4" width="20.85546875" customWidth="1"/>
    <col min="5" max="5" width="11.5703125" customWidth="1"/>
    <col min="6" max="6" width="9.5703125" bestFit="1" customWidth="1"/>
    <col min="8" max="8" width="11.5703125" bestFit="1" customWidth="1"/>
    <col min="9" max="9" width="12.5703125" customWidth="1"/>
  </cols>
  <sheetData>
    <row r="2" spans="1:4" ht="15.75" thickBot="1"/>
    <row r="3" spans="1:4" ht="15.75" thickBot="1">
      <c r="A3" s="155" t="s">
        <v>80</v>
      </c>
      <c r="B3" s="157"/>
      <c r="C3" s="157"/>
      <c r="D3" s="156"/>
    </row>
    <row r="4" spans="1:4" s="1" customFormat="1" ht="15.75" thickBot="1">
      <c r="A4" s="40" t="s">
        <v>0</v>
      </c>
      <c r="B4" s="41" t="s">
        <v>1</v>
      </c>
      <c r="C4" s="42" t="s">
        <v>41</v>
      </c>
      <c r="D4" s="130" t="s">
        <v>99</v>
      </c>
    </row>
    <row r="5" spans="1:4" s="2" customFormat="1" ht="26.25">
      <c r="A5" s="37" t="s">
        <v>8</v>
      </c>
      <c r="B5" s="38" t="s">
        <v>4</v>
      </c>
      <c r="C5" s="39"/>
      <c r="D5" s="131">
        <f>Assumptions!D5</f>
        <v>200</v>
      </c>
    </row>
    <row r="6" spans="1:4" s="2" customFormat="1">
      <c r="A6" s="33" t="s">
        <v>3</v>
      </c>
      <c r="B6" s="28" t="s">
        <v>2</v>
      </c>
      <c r="C6" s="25"/>
      <c r="D6" s="132">
        <f>Assumptions!D6</f>
        <v>200000</v>
      </c>
    </row>
    <row r="7" spans="1:4" s="2" customFormat="1">
      <c r="A7" s="33" t="s">
        <v>39</v>
      </c>
      <c r="B7" s="28" t="s">
        <v>2</v>
      </c>
      <c r="C7" s="25"/>
      <c r="D7" s="132">
        <f>D6*Assumptions!D8</f>
        <v>10000</v>
      </c>
    </row>
    <row r="8" spans="1:4" s="2" customFormat="1">
      <c r="A8" s="33" t="s">
        <v>6</v>
      </c>
      <c r="B8" s="28" t="s">
        <v>7</v>
      </c>
      <c r="C8" s="25"/>
      <c r="D8" s="132">
        <f>Assumptions!D7</f>
        <v>10</v>
      </c>
    </row>
    <row r="9" spans="1:4" s="2" customFormat="1">
      <c r="A9" s="33" t="s">
        <v>9</v>
      </c>
      <c r="B9" s="28" t="s">
        <v>5</v>
      </c>
      <c r="C9" s="25"/>
      <c r="D9" s="132">
        <f>Assumptions!D9</f>
        <v>5</v>
      </c>
    </row>
    <row r="10" spans="1:4" s="2" customFormat="1" ht="26.25">
      <c r="A10" s="33" t="s">
        <v>23</v>
      </c>
      <c r="B10" s="28" t="s">
        <v>10</v>
      </c>
      <c r="C10" s="25"/>
      <c r="D10" s="132">
        <f>Assumptions!D10</f>
        <v>25</v>
      </c>
    </row>
    <row r="11" spans="1:4" s="2" customFormat="1">
      <c r="A11" s="33" t="s">
        <v>30</v>
      </c>
      <c r="B11" s="28" t="s">
        <v>31</v>
      </c>
      <c r="C11" s="25"/>
      <c r="D11" s="132">
        <f>Assumptions!D11</f>
        <v>2</v>
      </c>
    </row>
    <row r="12" spans="1:4" s="2" customFormat="1">
      <c r="A12" s="33" t="s">
        <v>32</v>
      </c>
      <c r="B12" s="28" t="s">
        <v>2</v>
      </c>
      <c r="C12" s="25"/>
      <c r="D12" s="132">
        <f>Assumptions!D12</f>
        <v>300</v>
      </c>
    </row>
    <row r="13" spans="1:4" ht="26.25">
      <c r="A13" s="33" t="s">
        <v>12</v>
      </c>
      <c r="B13" s="29" t="s">
        <v>13</v>
      </c>
      <c r="C13" s="26"/>
      <c r="D13" s="133">
        <f>Assumptions!D13</f>
        <v>55</v>
      </c>
    </row>
    <row r="14" spans="1:4" ht="26.25">
      <c r="A14" s="33" t="s">
        <v>33</v>
      </c>
      <c r="B14" s="29" t="s">
        <v>2</v>
      </c>
      <c r="C14" s="26"/>
      <c r="D14" s="134">
        <f>Assumptions!D17</f>
        <v>5000</v>
      </c>
    </row>
    <row r="15" spans="1:4" ht="26.25">
      <c r="A15" s="33" t="s">
        <v>34</v>
      </c>
      <c r="B15" s="29" t="s">
        <v>31</v>
      </c>
      <c r="C15" s="26"/>
      <c r="D15" s="134">
        <f>Assumptions!D18</f>
        <v>2</v>
      </c>
    </row>
    <row r="16" spans="1:4">
      <c r="A16" s="33" t="s">
        <v>20</v>
      </c>
      <c r="B16" s="29" t="s">
        <v>11</v>
      </c>
      <c r="C16" s="26"/>
      <c r="D16" s="135">
        <f>Assumptions!D14*Assumptions!D15</f>
        <v>10000</v>
      </c>
    </row>
    <row r="17" spans="1:9">
      <c r="A17" s="33" t="s">
        <v>77</v>
      </c>
      <c r="B17" s="29" t="s">
        <v>19</v>
      </c>
      <c r="C17" s="26"/>
      <c r="D17" s="136">
        <f>Assumptions!D19</f>
        <v>0.1</v>
      </c>
    </row>
    <row r="18" spans="1:9">
      <c r="A18" s="33" t="s">
        <v>16</v>
      </c>
      <c r="B18" s="29" t="s">
        <v>19</v>
      </c>
      <c r="C18" s="26"/>
      <c r="D18" s="136">
        <f>Assumptions!D20</f>
        <v>0</v>
      </c>
    </row>
    <row r="19" spans="1:9" ht="26.25">
      <c r="A19" s="33" t="s">
        <v>17</v>
      </c>
      <c r="B19" s="29" t="s">
        <v>11</v>
      </c>
      <c r="C19" s="26"/>
      <c r="D19" s="135">
        <f>Assumptions!D14*Assumptions!D19</f>
        <v>1250</v>
      </c>
    </row>
    <row r="20" spans="1:9" ht="26.25">
      <c r="A20" s="33" t="s">
        <v>18</v>
      </c>
      <c r="B20" s="29" t="s">
        <v>11</v>
      </c>
      <c r="C20" s="26"/>
      <c r="D20" s="135">
        <f>Assumptions!D14*Assumptions!D20</f>
        <v>0</v>
      </c>
    </row>
    <row r="21" spans="1:9">
      <c r="A21" s="33" t="s">
        <v>36</v>
      </c>
      <c r="B21" s="29" t="s">
        <v>11</v>
      </c>
      <c r="C21" s="26"/>
      <c r="D21" s="134">
        <f>Assumptions!D21</f>
        <v>5</v>
      </c>
    </row>
    <row r="22" spans="1:9">
      <c r="A22" s="33" t="s">
        <v>24</v>
      </c>
      <c r="B22" s="29" t="s">
        <v>2</v>
      </c>
      <c r="C22" s="26" t="s">
        <v>42</v>
      </c>
      <c r="D22" s="135">
        <f>Assumptions!D22</f>
        <v>10000</v>
      </c>
    </row>
    <row r="23" spans="1:9">
      <c r="A23" s="33" t="s">
        <v>25</v>
      </c>
      <c r="B23" s="29" t="s">
        <v>2</v>
      </c>
      <c r="C23" s="26" t="s">
        <v>42</v>
      </c>
      <c r="D23" s="135">
        <f>Assumptions!D23</f>
        <v>10000</v>
      </c>
    </row>
    <row r="24" spans="1:9" ht="39">
      <c r="A24" s="33" t="s">
        <v>26</v>
      </c>
      <c r="B24" s="29" t="s">
        <v>2</v>
      </c>
      <c r="C24" s="26" t="s">
        <v>42</v>
      </c>
      <c r="D24" s="137">
        <f>Assumptions!D24</f>
        <v>20000</v>
      </c>
    </row>
    <row r="25" spans="1:9">
      <c r="A25" s="33" t="s">
        <v>27</v>
      </c>
      <c r="B25" s="29" t="s">
        <v>2</v>
      </c>
      <c r="C25" s="26" t="s">
        <v>43</v>
      </c>
      <c r="D25" s="137">
        <f>Assumptions!D25</f>
        <v>2000</v>
      </c>
    </row>
    <row r="26" spans="1:9">
      <c r="A26" s="33" t="s">
        <v>28</v>
      </c>
      <c r="B26" s="29" t="s">
        <v>2</v>
      </c>
      <c r="C26" s="26" t="s">
        <v>43</v>
      </c>
      <c r="D26" s="137">
        <f>Assumptions!D26</f>
        <v>200</v>
      </c>
    </row>
    <row r="27" spans="1:9">
      <c r="A27" s="33" t="s">
        <v>35</v>
      </c>
      <c r="B27" s="29" t="s">
        <v>2</v>
      </c>
      <c r="C27" s="26" t="s">
        <v>42</v>
      </c>
      <c r="D27" s="137">
        <f>Assumptions!D27</f>
        <v>200</v>
      </c>
    </row>
    <row r="28" spans="1:9">
      <c r="A28" s="33" t="s">
        <v>21</v>
      </c>
      <c r="B28" s="29" t="s">
        <v>2</v>
      </c>
      <c r="C28" s="26" t="s">
        <v>43</v>
      </c>
      <c r="D28" s="138">
        <f>D13*Assumptions!D14</f>
        <v>687500</v>
      </c>
    </row>
    <row r="29" spans="1:9">
      <c r="A29" s="33" t="s">
        <v>22</v>
      </c>
      <c r="B29" s="29" t="s">
        <v>2</v>
      </c>
      <c r="C29" s="26" t="s">
        <v>43</v>
      </c>
      <c r="D29" s="138">
        <f>D10*D11*D12</f>
        <v>15000</v>
      </c>
    </row>
    <row r="30" spans="1:9" ht="26.25">
      <c r="A30" s="33" t="s">
        <v>40</v>
      </c>
      <c r="B30" s="29" t="s">
        <v>2</v>
      </c>
      <c r="C30" s="26" t="s">
        <v>43</v>
      </c>
      <c r="D30" s="138">
        <f>D14*D15</f>
        <v>10000</v>
      </c>
    </row>
    <row r="31" spans="1:9">
      <c r="A31" s="33" t="s">
        <v>37</v>
      </c>
      <c r="B31" s="29" t="s">
        <v>2</v>
      </c>
      <c r="C31" s="26" t="s">
        <v>43</v>
      </c>
      <c r="D31" s="138">
        <f>(D16/D21)*2</f>
        <v>4000</v>
      </c>
    </row>
    <row r="32" spans="1:9">
      <c r="A32" s="33" t="s">
        <v>15</v>
      </c>
      <c r="B32" s="29" t="s">
        <v>2</v>
      </c>
      <c r="C32" s="26" t="s">
        <v>42</v>
      </c>
      <c r="D32" s="139">
        <f>(D6-D7)/(D8*12)</f>
        <v>1583.3333333333333</v>
      </c>
      <c r="F32" s="9"/>
      <c r="G32" s="9"/>
      <c r="H32" s="9"/>
      <c r="I32" s="9"/>
    </row>
    <row r="33" spans="1:9">
      <c r="A33" s="89" t="s">
        <v>95</v>
      </c>
      <c r="B33" s="90" t="s">
        <v>2</v>
      </c>
      <c r="C33" s="91" t="s">
        <v>42</v>
      </c>
      <c r="D33" s="140">
        <f>C46</f>
        <v>1750</v>
      </c>
      <c r="F33" s="9"/>
      <c r="G33" s="9"/>
      <c r="H33" s="9"/>
      <c r="I33" s="9"/>
    </row>
    <row r="34" spans="1:9" ht="26.25">
      <c r="A34" s="89" t="s">
        <v>94</v>
      </c>
      <c r="B34" s="90" t="s">
        <v>2</v>
      </c>
      <c r="C34" s="91" t="s">
        <v>43</v>
      </c>
      <c r="D34" s="140">
        <f>C50</f>
        <v>3055.2374999999997</v>
      </c>
      <c r="F34" s="9"/>
      <c r="G34" s="9"/>
      <c r="H34" s="9"/>
      <c r="I34" s="9"/>
    </row>
    <row r="35" spans="1:9">
      <c r="A35" s="89" t="s">
        <v>97</v>
      </c>
      <c r="B35" s="90"/>
      <c r="C35" s="91" t="s">
        <v>43</v>
      </c>
      <c r="D35" s="140">
        <f>D16*Assumptions!D16</f>
        <v>400000</v>
      </c>
      <c r="F35" s="9"/>
      <c r="G35" s="9"/>
      <c r="H35" s="9"/>
      <c r="I35" s="9"/>
    </row>
    <row r="36" spans="1:9" ht="15.75" thickBot="1">
      <c r="A36" s="34" t="s">
        <v>38</v>
      </c>
      <c r="B36" s="30" t="s">
        <v>2</v>
      </c>
      <c r="C36" s="27" t="s">
        <v>42</v>
      </c>
      <c r="D36" s="141">
        <v>5000</v>
      </c>
    </row>
    <row r="37" spans="1:9">
      <c r="A37" s="35" t="s">
        <v>44</v>
      </c>
      <c r="B37" s="31" t="s">
        <v>2</v>
      </c>
      <c r="C37" s="11"/>
      <c r="D37" s="142">
        <f>SUM(D22:D36)</f>
        <v>1170288.5708333333</v>
      </c>
    </row>
    <row r="38" spans="1:9" ht="15.75" thickBot="1">
      <c r="A38" s="36" t="s">
        <v>45</v>
      </c>
      <c r="B38" s="32" t="s">
        <v>2</v>
      </c>
      <c r="C38" s="13"/>
      <c r="D38" s="143">
        <f>D37/D16</f>
        <v>117.02885708333334</v>
      </c>
    </row>
    <row r="41" spans="1:9" ht="15.75" thickBot="1"/>
    <row r="42" spans="1:9" ht="15.75" thickBot="1">
      <c r="A42" s="103" t="s">
        <v>96</v>
      </c>
      <c r="B42" s="104">
        <f>SUM(Assumptions!C34:C38)</f>
        <v>1000000</v>
      </c>
    </row>
    <row r="43" spans="1:9">
      <c r="A43" s="158" t="s">
        <v>92</v>
      </c>
      <c r="B43" s="159"/>
      <c r="C43" s="160"/>
    </row>
    <row r="44" spans="1:9">
      <c r="A44" s="85" t="s">
        <v>0</v>
      </c>
      <c r="B44" s="76" t="s">
        <v>85</v>
      </c>
      <c r="C44" s="86" t="s">
        <v>86</v>
      </c>
    </row>
    <row r="45" spans="1:9">
      <c r="A45" s="80" t="s">
        <v>83</v>
      </c>
      <c r="B45" s="82">
        <f>B42*Assumptions!E34</f>
        <v>650000</v>
      </c>
      <c r="C45" s="6"/>
    </row>
    <row r="46" spans="1:9">
      <c r="A46" s="64" t="s">
        <v>84</v>
      </c>
      <c r="B46" s="83">
        <f>B42*Assumptions!E35</f>
        <v>350000</v>
      </c>
      <c r="C46" s="3">
        <f>(B46*Assumptions!E36)/12</f>
        <v>1750</v>
      </c>
    </row>
    <row r="47" spans="1:9">
      <c r="A47" s="161" t="s">
        <v>93</v>
      </c>
      <c r="B47" s="162"/>
      <c r="C47" s="163"/>
    </row>
    <row r="48" spans="1:9">
      <c r="A48" s="85" t="s">
        <v>0</v>
      </c>
      <c r="B48" s="76" t="s">
        <v>85</v>
      </c>
      <c r="C48" s="86" t="s">
        <v>86</v>
      </c>
    </row>
    <row r="49" spans="1:7">
      <c r="A49" s="80" t="s">
        <v>87</v>
      </c>
      <c r="B49" s="84">
        <f>SUM($D$22:$D$31,$D$35:$D$36)*Assumptions!E38</f>
        <v>756535</v>
      </c>
      <c r="C49" s="87"/>
    </row>
    <row r="50" spans="1:7" ht="30.75" thickBot="1">
      <c r="A50" s="88" t="s">
        <v>88</v>
      </c>
      <c r="B50" s="92">
        <f>SUM($D$22:$D$31,$D$35:$D$36)*Assumptions!E39</f>
        <v>407365</v>
      </c>
      <c r="C50" s="106">
        <f>(B50*Assumptions!E40)/12</f>
        <v>3055.2374999999997</v>
      </c>
    </row>
    <row r="51" spans="1:7" ht="15.75" thickBot="1">
      <c r="B51" s="77"/>
      <c r="C51" s="74"/>
    </row>
    <row r="52" spans="1:7" ht="15.75" thickBot="1">
      <c r="A52" s="152" t="s">
        <v>102</v>
      </c>
      <c r="B52" s="153"/>
      <c r="C52" s="153"/>
      <c r="D52" s="153"/>
      <c r="E52" s="153"/>
      <c r="F52" s="153"/>
      <c r="G52" s="154"/>
    </row>
    <row r="53" spans="1:7">
      <c r="A53" s="110" t="s">
        <v>0</v>
      </c>
      <c r="B53" s="111" t="s">
        <v>56</v>
      </c>
      <c r="C53" s="111" t="s">
        <v>57</v>
      </c>
      <c r="D53" s="111" t="s">
        <v>58</v>
      </c>
      <c r="E53" s="111" t="s">
        <v>59</v>
      </c>
      <c r="F53" s="111" t="s">
        <v>60</v>
      </c>
      <c r="G53" s="112" t="s">
        <v>74</v>
      </c>
    </row>
    <row r="54" spans="1:7">
      <c r="A54" s="80" t="s">
        <v>100</v>
      </c>
      <c r="B54" s="109">
        <f>Assumptions!D14</f>
        <v>12500</v>
      </c>
      <c r="C54" s="109">
        <f>B54*(1+Assumptions!$B$40)</f>
        <v>14374.999999999998</v>
      </c>
      <c r="D54" s="84">
        <f>C54*(1+Assumptions!$B$40)</f>
        <v>16531.249999999996</v>
      </c>
      <c r="E54" s="84">
        <f>D54*(1+Assumptions!$B$40)</f>
        <v>19010.937499999993</v>
      </c>
      <c r="F54" s="84">
        <f>E54*(1+Assumptions!$B$40)</f>
        <v>21862.578124999989</v>
      </c>
      <c r="G54" s="113">
        <f>F54*(1+Assumptions!$B$40)</f>
        <v>25141.964843749985</v>
      </c>
    </row>
    <row r="55" spans="1:7" ht="15.75" thickBot="1">
      <c r="A55" s="81" t="s">
        <v>61</v>
      </c>
      <c r="B55" s="114">
        <f>B54*Assumptions!$D$15</f>
        <v>10000</v>
      </c>
      <c r="C55" s="114">
        <f>C54*Assumptions!$D$15</f>
        <v>11500</v>
      </c>
      <c r="D55" s="114">
        <f>D54*Assumptions!$D$15</f>
        <v>13224.999999999998</v>
      </c>
      <c r="E55" s="92">
        <f>E54*Assumptions!$D$15</f>
        <v>15208.749999999995</v>
      </c>
      <c r="F55" s="92">
        <f>F54*Assumptions!$D$15</f>
        <v>17490.062499999993</v>
      </c>
      <c r="G55" s="115">
        <f>G54*Assumptions!$D$15</f>
        <v>20113.571874999991</v>
      </c>
    </row>
  </sheetData>
  <sheetProtection algorithmName="SHA-512" hashValue="vxFTWthFY6Y2sSQQ39h2EemVsGvr+52I9Benozc8mievG5FPkmhuwuPapKmpfJua7PJwkuPw6u0VVqLg1MjLAA==" saltValue="ZoFc4lDLqgwW2BvOMs1B8w==" spinCount="100000" sheet="1" objects="1" scenarios="1"/>
  <mergeCells count="4">
    <mergeCell ref="A3:D3"/>
    <mergeCell ref="A43:C43"/>
    <mergeCell ref="A47:C47"/>
    <mergeCell ref="A52:G52"/>
  </mergeCells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AB066-16AC-4BD7-9359-6DBF84963D41}">
  <dimension ref="A1:C27"/>
  <sheetViews>
    <sheetView workbookViewId="0">
      <selection activeCell="A30" sqref="A30"/>
    </sheetView>
  </sheetViews>
  <sheetFormatPr defaultRowHeight="15"/>
  <cols>
    <col min="1" max="1" width="29.42578125" customWidth="1"/>
    <col min="2" max="2" width="24.140625" customWidth="1"/>
    <col min="3" max="3" width="18.140625" customWidth="1"/>
    <col min="4" max="4" width="14.7109375" customWidth="1"/>
    <col min="5" max="5" width="16.85546875" customWidth="1"/>
    <col min="6" max="6" width="16.28515625" customWidth="1"/>
  </cols>
  <sheetData>
    <row r="1" spans="1:3" ht="15.75" thickBot="1"/>
    <row r="2" spans="1:3" ht="15.75" thickBot="1">
      <c r="A2" s="155" t="s">
        <v>81</v>
      </c>
      <c r="B2" s="157"/>
      <c r="C2" s="156"/>
    </row>
    <row r="3" spans="1:3" ht="15.75" thickBot="1">
      <c r="A3" s="68" t="s">
        <v>0</v>
      </c>
      <c r="B3" s="69" t="s">
        <v>41</v>
      </c>
      <c r="C3" s="70" t="s">
        <v>46</v>
      </c>
    </row>
    <row r="4" spans="1:3">
      <c r="A4" s="65" t="s">
        <v>24</v>
      </c>
      <c r="B4" s="66" t="s">
        <v>42</v>
      </c>
      <c r="C4" s="67">
        <f>'Product Cost'!D22</f>
        <v>10000</v>
      </c>
    </row>
    <row r="5" spans="1:3">
      <c r="A5" s="4" t="s">
        <v>25</v>
      </c>
      <c r="B5" s="10" t="s">
        <v>42</v>
      </c>
      <c r="C5" s="6">
        <f>'Product Cost'!D23</f>
        <v>10000</v>
      </c>
    </row>
    <row r="6" spans="1:3" ht="39">
      <c r="A6" s="4" t="s">
        <v>26</v>
      </c>
      <c r="B6" s="10" t="s">
        <v>42</v>
      </c>
      <c r="C6" s="15">
        <f>'Product Cost'!D24</f>
        <v>20000</v>
      </c>
    </row>
    <row r="7" spans="1:3">
      <c r="A7" s="4" t="s">
        <v>27</v>
      </c>
      <c r="B7" s="10" t="s">
        <v>43</v>
      </c>
      <c r="C7" s="15">
        <f>'Product Cost'!D25</f>
        <v>2000</v>
      </c>
    </row>
    <row r="8" spans="1:3">
      <c r="A8" s="4" t="s">
        <v>28</v>
      </c>
      <c r="B8" s="10" t="s">
        <v>43</v>
      </c>
      <c r="C8" s="15">
        <f>'Product Cost'!D26</f>
        <v>200</v>
      </c>
    </row>
    <row r="9" spans="1:3">
      <c r="A9" s="4" t="s">
        <v>35</v>
      </c>
      <c r="B9" s="10" t="s">
        <v>42</v>
      </c>
      <c r="C9" s="15">
        <f>'Product Cost'!D27</f>
        <v>200</v>
      </c>
    </row>
    <row r="10" spans="1:3">
      <c r="A10" s="4" t="s">
        <v>21</v>
      </c>
      <c r="B10" s="10" t="s">
        <v>43</v>
      </c>
      <c r="C10" s="15">
        <f>'Product Cost'!D28</f>
        <v>687500</v>
      </c>
    </row>
    <row r="11" spans="1:3">
      <c r="A11" s="4" t="s">
        <v>22</v>
      </c>
      <c r="B11" s="10" t="s">
        <v>43</v>
      </c>
      <c r="C11" s="6">
        <f>'Product Cost'!D29</f>
        <v>15000</v>
      </c>
    </row>
    <row r="12" spans="1:3" ht="26.25">
      <c r="A12" s="4" t="s">
        <v>40</v>
      </c>
      <c r="B12" s="10" t="s">
        <v>43</v>
      </c>
      <c r="C12" s="6">
        <f>'Product Cost'!D30</f>
        <v>10000</v>
      </c>
    </row>
    <row r="13" spans="1:3">
      <c r="A13" s="4" t="s">
        <v>37</v>
      </c>
      <c r="B13" s="10" t="s">
        <v>43</v>
      </c>
      <c r="C13" s="6">
        <f>'Product Cost'!D31</f>
        <v>4000</v>
      </c>
    </row>
    <row r="14" spans="1:3">
      <c r="A14" s="4" t="s">
        <v>15</v>
      </c>
      <c r="B14" s="10" t="s">
        <v>42</v>
      </c>
      <c r="C14" s="15">
        <f>'Product Cost'!D32</f>
        <v>1583.3333333333333</v>
      </c>
    </row>
    <row r="15" spans="1:3">
      <c r="A15" s="93" t="s">
        <v>95</v>
      </c>
      <c r="B15" s="94" t="s">
        <v>42</v>
      </c>
      <c r="C15" s="95">
        <f>'Product Cost'!D33</f>
        <v>1750</v>
      </c>
    </row>
    <row r="16" spans="1:3" ht="26.25">
      <c r="A16" s="93" t="s">
        <v>94</v>
      </c>
      <c r="B16" s="94" t="s">
        <v>43</v>
      </c>
      <c r="C16" s="95">
        <f>'Product Cost'!D34</f>
        <v>3055.2374999999997</v>
      </c>
    </row>
    <row r="17" spans="1:3">
      <c r="A17" s="93" t="s">
        <v>97</v>
      </c>
      <c r="B17" s="94" t="s">
        <v>43</v>
      </c>
      <c r="C17" s="107">
        <f>'Product Cost'!D35</f>
        <v>400000</v>
      </c>
    </row>
    <row r="18" spans="1:3" ht="15.75" thickBot="1">
      <c r="A18" s="5" t="s">
        <v>38</v>
      </c>
      <c r="B18" s="20" t="s">
        <v>42</v>
      </c>
      <c r="C18" s="7">
        <f>'Product Cost'!D36</f>
        <v>5000</v>
      </c>
    </row>
    <row r="19" spans="1:3" ht="15.75" thickBot="1">
      <c r="A19" s="19"/>
      <c r="B19" s="8"/>
      <c r="C19" s="8"/>
    </row>
    <row r="20" spans="1:3" ht="15.75" thickBot="1">
      <c r="A20" s="68" t="s">
        <v>0</v>
      </c>
      <c r="B20" s="69" t="s">
        <v>1</v>
      </c>
      <c r="C20" s="70" t="s">
        <v>29</v>
      </c>
    </row>
    <row r="21" spans="1:3">
      <c r="A21" s="21" t="s">
        <v>48</v>
      </c>
      <c r="B21" s="22" t="s">
        <v>2</v>
      </c>
      <c r="C21" s="23">
        <f>SUMIF(B4:B18,"Fixed",C4:C18)</f>
        <v>48533.333333333336</v>
      </c>
    </row>
    <row r="22" spans="1:3">
      <c r="A22" s="16" t="s">
        <v>49</v>
      </c>
      <c r="B22" s="22" t="s">
        <v>2</v>
      </c>
      <c r="C22" s="24">
        <f>SUMIF(B4:B18,"Variable",C4:C18)</f>
        <v>1121755.2375</v>
      </c>
    </row>
    <row r="23" spans="1:3">
      <c r="A23" s="16" t="s">
        <v>47</v>
      </c>
      <c r="B23" s="17" t="s">
        <v>11</v>
      </c>
      <c r="C23" s="18">
        <f>'Product Cost'!D16</f>
        <v>10000</v>
      </c>
    </row>
    <row r="24" spans="1:3">
      <c r="A24" s="16" t="s">
        <v>50</v>
      </c>
      <c r="B24" s="17" t="s">
        <v>54</v>
      </c>
      <c r="C24" s="24">
        <f>C22/C23</f>
        <v>112.17552375000001</v>
      </c>
    </row>
    <row r="25" spans="1:3">
      <c r="A25" s="16" t="s">
        <v>51</v>
      </c>
      <c r="B25" s="17" t="s">
        <v>54</v>
      </c>
      <c r="C25" s="24">
        <f>Assumptions!D29</f>
        <v>120</v>
      </c>
    </row>
    <row r="26" spans="1:3">
      <c r="A26" s="16" t="s">
        <v>52</v>
      </c>
      <c r="B26" s="17" t="s">
        <v>54</v>
      </c>
      <c r="C26" s="24">
        <f>C25-C24</f>
        <v>7.8244762499999894</v>
      </c>
    </row>
    <row r="27" spans="1:3" ht="15.75" thickBot="1">
      <c r="A27" s="12" t="s">
        <v>53</v>
      </c>
      <c r="B27" s="13" t="s">
        <v>11</v>
      </c>
      <c r="C27" s="14">
        <f>C21/C26</f>
        <v>6202.7580866301951</v>
      </c>
    </row>
  </sheetData>
  <sheetProtection algorithmName="SHA-512" hashValue="o+KQpd8IDBcd0DMMhEgeFlseorL8fAZ27b58kkwcFWsS37qp87lBCuscARZJEHO1WUW5nLMSUElSHdS992QAEw==" saltValue="GYK0zaUahLSZVoUu0Rj6jg==" spinCount="100000" sheet="1" objects="1" scenarios="1"/>
  <mergeCells count="1">
    <mergeCell ref="A2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FB3F2-1AA4-486C-BC36-EE5F8159CA4E}">
  <dimension ref="A3:H15"/>
  <sheetViews>
    <sheetView topLeftCell="A2" workbookViewId="0">
      <selection activeCell="C16" sqref="C16"/>
    </sheetView>
  </sheetViews>
  <sheetFormatPr defaultRowHeight="15"/>
  <cols>
    <col min="1" max="1" width="35.28515625" customWidth="1"/>
    <col min="2" max="2" width="16.42578125" customWidth="1"/>
    <col min="3" max="3" width="14.85546875" customWidth="1"/>
    <col min="4" max="4" width="18.42578125" customWidth="1"/>
    <col min="5" max="5" width="18" customWidth="1"/>
    <col min="6" max="6" width="15.5703125" customWidth="1"/>
    <col min="7" max="7" width="14.28515625" customWidth="1"/>
    <col min="8" max="8" width="14.42578125" customWidth="1"/>
  </cols>
  <sheetData>
    <row r="3" spans="1:8" ht="15.75" thickBot="1"/>
    <row r="4" spans="1:8" ht="15.75" thickBot="1">
      <c r="A4" s="164" t="s">
        <v>55</v>
      </c>
      <c r="B4" s="165"/>
      <c r="C4" s="165"/>
      <c r="D4" s="165"/>
      <c r="E4" s="165"/>
      <c r="F4" s="165"/>
      <c r="G4" s="165"/>
      <c r="H4" s="166"/>
    </row>
    <row r="5" spans="1:8">
      <c r="A5" s="43" t="s">
        <v>0</v>
      </c>
      <c r="B5" s="49" t="s">
        <v>73</v>
      </c>
      <c r="C5" s="49" t="s">
        <v>56</v>
      </c>
      <c r="D5" s="49" t="s">
        <v>57</v>
      </c>
      <c r="E5" s="49" t="s">
        <v>58</v>
      </c>
      <c r="F5" s="49" t="s">
        <v>59</v>
      </c>
      <c r="G5" s="49" t="s">
        <v>60</v>
      </c>
      <c r="H5" s="50" t="s">
        <v>74</v>
      </c>
    </row>
    <row r="6" spans="1:8">
      <c r="A6" s="44" t="s">
        <v>61</v>
      </c>
      <c r="B6" s="48"/>
      <c r="C6" s="45">
        <f>'Product Cost'!B55*12</f>
        <v>120000</v>
      </c>
      <c r="D6" s="116">
        <f>'Product Cost'!C55*12</f>
        <v>138000</v>
      </c>
      <c r="E6" s="116">
        <f>'Product Cost'!D55*12</f>
        <v>158699.99999999997</v>
      </c>
      <c r="F6" s="116">
        <f>'Product Cost'!E55*12</f>
        <v>182504.99999999994</v>
      </c>
      <c r="G6" s="116">
        <f>'Product Cost'!F55*12</f>
        <v>209880.74999999991</v>
      </c>
      <c r="H6" s="117">
        <f>'Product Cost'!G55*12</f>
        <v>241362.86249999987</v>
      </c>
    </row>
    <row r="7" spans="1:8">
      <c r="A7" s="44" t="s">
        <v>62</v>
      </c>
      <c r="B7" s="96"/>
      <c r="C7" s="97">
        <f>C6*'Break Even Analysis'!C25</f>
        <v>14400000</v>
      </c>
      <c r="D7" s="97">
        <f>D6*'Break Even Analysis'!$C$25</f>
        <v>16560000</v>
      </c>
      <c r="E7" s="97">
        <f>E6*'Break Even Analysis'!$C$25</f>
        <v>19043999.999999996</v>
      </c>
      <c r="F7" s="97">
        <f>F6*'Break Even Analysis'!$C$25</f>
        <v>21900599.999999993</v>
      </c>
      <c r="G7" s="97">
        <f>G6*'Break Even Analysis'!$C$25</f>
        <v>25185689.999999989</v>
      </c>
      <c r="H7" s="98">
        <f>H6*'Break Even Analysis'!$C$25</f>
        <v>28963543.499999985</v>
      </c>
    </row>
    <row r="8" spans="1:8">
      <c r="A8" s="44" t="s">
        <v>63</v>
      </c>
      <c r="B8" s="96"/>
      <c r="C8" s="97">
        <f>C6*'Break Even Analysis'!$C$24</f>
        <v>13461062.850000001</v>
      </c>
      <c r="D8" s="97">
        <f>D6*'Break Even Analysis'!$C$24</f>
        <v>15480222.277500002</v>
      </c>
      <c r="E8" s="97">
        <f>E6*'Break Even Analysis'!$C$24</f>
        <v>17802255.619124997</v>
      </c>
      <c r="F8" s="97">
        <f>F6*'Break Even Analysis'!$C$24</f>
        <v>20472593.961993746</v>
      </c>
      <c r="G8" s="97">
        <f>G6*'Break Even Analysis'!$C$24</f>
        <v>23543483.056292806</v>
      </c>
      <c r="H8" s="98">
        <f>H6*'Break Even Analysis'!$C$24</f>
        <v>27075005.514736723</v>
      </c>
    </row>
    <row r="9" spans="1:8">
      <c r="A9" s="46" t="s">
        <v>64</v>
      </c>
      <c r="B9" s="99"/>
      <c r="C9" s="99">
        <f>C7-C8</f>
        <v>938937.14999999851</v>
      </c>
      <c r="D9" s="99">
        <f t="shared" ref="D9:G9" si="0">D7-D8</f>
        <v>1079777.7224999983</v>
      </c>
      <c r="E9" s="99">
        <f t="shared" si="0"/>
        <v>1241744.3808749989</v>
      </c>
      <c r="F9" s="99">
        <f t="shared" si="0"/>
        <v>1428006.0380062461</v>
      </c>
      <c r="G9" s="99">
        <f t="shared" si="0"/>
        <v>1642206.943707183</v>
      </c>
      <c r="H9" s="100">
        <f t="shared" ref="H9" si="1">H7-H8</f>
        <v>1888537.9852632619</v>
      </c>
    </row>
    <row r="10" spans="1:8">
      <c r="A10" s="44" t="s">
        <v>65</v>
      </c>
      <c r="B10" s="96"/>
      <c r="C10" s="97">
        <f>('Break Even Analysis'!$C$21-'Break Even Analysis'!$C$14)*12</f>
        <v>563400</v>
      </c>
      <c r="D10" s="97">
        <f>('Break Even Analysis'!$C$21-'Break Even Analysis'!$C$14)*12</f>
        <v>563400</v>
      </c>
      <c r="E10" s="97">
        <f>('Break Even Analysis'!$C$21-'Break Even Analysis'!$C$14)*12</f>
        <v>563400</v>
      </c>
      <c r="F10" s="97">
        <f>('Break Even Analysis'!$C$21-'Break Even Analysis'!$C$14)*12</f>
        <v>563400</v>
      </c>
      <c r="G10" s="97">
        <f>('Break Even Analysis'!$C$21-'Break Even Analysis'!$C$14)*12</f>
        <v>563400</v>
      </c>
      <c r="H10" s="98">
        <f>('Break Even Analysis'!$C$21-'Break Even Analysis'!$C$14)*12</f>
        <v>563400</v>
      </c>
    </row>
    <row r="11" spans="1:8">
      <c r="A11" s="44" t="s">
        <v>66</v>
      </c>
      <c r="B11" s="96"/>
      <c r="C11" s="97">
        <f>'Break Even Analysis'!$C$14*12</f>
        <v>19000</v>
      </c>
      <c r="D11" s="97">
        <f>'Break Even Analysis'!$C$14*12</f>
        <v>19000</v>
      </c>
      <c r="E11" s="97">
        <f>'Break Even Analysis'!$C$14*12</f>
        <v>19000</v>
      </c>
      <c r="F11" s="97">
        <f>'Break Even Analysis'!$C$14*12</f>
        <v>19000</v>
      </c>
      <c r="G11" s="97">
        <f>'Break Even Analysis'!$C$14*12</f>
        <v>19000</v>
      </c>
      <c r="H11" s="98">
        <f>'Break Even Analysis'!$C$14*12</f>
        <v>19000</v>
      </c>
    </row>
    <row r="12" spans="1:8" ht="15.75" thickBot="1">
      <c r="A12" s="47" t="s">
        <v>76</v>
      </c>
      <c r="B12" s="101">
        <f>-'Product Cost'!B42</f>
        <v>-1000000</v>
      </c>
      <c r="C12" s="101">
        <f>C9-C10</f>
        <v>375537.14999999851</v>
      </c>
      <c r="D12" s="101">
        <f t="shared" ref="D12:H12" si="2">D9-D10</f>
        <v>516377.72249999829</v>
      </c>
      <c r="E12" s="101">
        <f t="shared" si="2"/>
        <v>678344.38087499887</v>
      </c>
      <c r="F12" s="101">
        <f t="shared" si="2"/>
        <v>864606.03800624609</v>
      </c>
      <c r="G12" s="101">
        <f t="shared" si="2"/>
        <v>1078806.943707183</v>
      </c>
      <c r="H12" s="102">
        <f t="shared" si="2"/>
        <v>1325137.9852632619</v>
      </c>
    </row>
    <row r="13" spans="1:8" ht="15.75" thickBot="1"/>
    <row r="14" spans="1:8" ht="15.75" thickBot="1">
      <c r="A14" s="53" t="s">
        <v>75</v>
      </c>
      <c r="B14" s="52">
        <f>IRR(B12:H12,1)</f>
        <v>0.55276139809476277</v>
      </c>
    </row>
    <row r="15" spans="1:8">
      <c r="B15" s="51"/>
    </row>
  </sheetData>
  <sheetProtection algorithmName="SHA-512" hashValue="OwEGFRjMlTPB7uCuNGMiZEygyh8qM0nZKExhTlals1pXojjmsd6EVXVmfduucneKfsWAHZKjsP7ZuDJNtdHsFA==" saltValue="JklEsrlyrwMfHesbdjHzEQ==" spinCount="100000" sheet="1" objects="1" scenarios="1"/>
  <mergeCells count="1">
    <mergeCell ref="A4:H4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Assumptions</vt:lpstr>
      <vt:lpstr>Product Cost</vt:lpstr>
      <vt:lpstr>Break Even Analysis</vt:lpstr>
      <vt:lpstr>Profitability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Brundavanam, Pavan</dc:creator>
  <cp:lastModifiedBy>Brundavanam, Pavan</cp:lastModifiedBy>
  <dcterms:created xsi:type="dcterms:W3CDTF">2022-02-16T02:37:43Z</dcterms:created>
  <dcterms:modified xsi:type="dcterms:W3CDTF">2022-03-28T05:18:49Z</dcterms:modified>
</cp:coreProperties>
</file>