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enpactonline-my.sharepoint.com/personal/703060264_genpact_com/Documents/Pavan/GSIF 6 - Prdaan FPC/Processing/"/>
    </mc:Choice>
  </mc:AlternateContent>
  <xr:revisionPtr revIDLastSave="1363" documentId="13_ncr:1_{9C90246B-5AF2-4CF8-AFCC-6BE3FADBE07D}" xr6:coauthVersionLast="47" xr6:coauthVersionMax="47" xr10:uidLastSave="{17A8B41C-A303-4347-9441-DD4DFFF0693B}"/>
  <bookViews>
    <workbookView xWindow="-120" yWindow="-120" windowWidth="20730" windowHeight="11160" xr2:uid="{DA8C8209-14D9-4EF6-B04E-C5652C96478F}"/>
  </bookViews>
  <sheets>
    <sheet name="Assumptions" sheetId="6" r:id="rId1"/>
    <sheet name="Product Cost" sheetId="2" r:id="rId2"/>
    <sheet name="Break Even Analysis" sheetId="1" r:id="rId3"/>
    <sheet name="Profitability Analysi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H11" i="4"/>
  <c r="G11" i="4"/>
  <c r="F11" i="4"/>
  <c r="E11" i="4"/>
  <c r="D11" i="4"/>
  <c r="C11" i="4"/>
  <c r="F19" i="2"/>
  <c r="B48" i="2"/>
  <c r="B16" i="4" s="1"/>
  <c r="D34" i="2"/>
  <c r="C9" i="1" s="1"/>
  <c r="D33" i="2"/>
  <c r="C8" i="1" s="1"/>
  <c r="D32" i="2"/>
  <c r="C7" i="1" s="1"/>
  <c r="D31" i="2"/>
  <c r="C6" i="1" s="1"/>
  <c r="D30" i="2"/>
  <c r="C5" i="1" s="1"/>
  <c r="D29" i="2"/>
  <c r="C4" i="1" s="1"/>
  <c r="H42" i="2"/>
  <c r="G42" i="2"/>
  <c r="F42" i="2"/>
  <c r="E42" i="2"/>
  <c r="H28" i="2"/>
  <c r="G28" i="2"/>
  <c r="F28" i="2"/>
  <c r="E28" i="2"/>
  <c r="H25" i="2"/>
  <c r="G25" i="2"/>
  <c r="F25" i="2"/>
  <c r="E25" i="2"/>
  <c r="E24" i="2"/>
  <c r="F24" i="2"/>
  <c r="G24" i="2"/>
  <c r="H24" i="2"/>
  <c r="H22" i="2"/>
  <c r="G22" i="2"/>
  <c r="F22" i="2"/>
  <c r="H21" i="2"/>
  <c r="G21" i="2"/>
  <c r="F21" i="2"/>
  <c r="E22" i="2"/>
  <c r="E21" i="2"/>
  <c r="H19" i="2"/>
  <c r="G19" i="2"/>
  <c r="E19" i="2"/>
  <c r="H18" i="2"/>
  <c r="G18" i="2"/>
  <c r="F18" i="2"/>
  <c r="E18" i="2"/>
  <c r="H17" i="2"/>
  <c r="G17" i="2"/>
  <c r="F17" i="2"/>
  <c r="E17" i="2"/>
  <c r="H16" i="2"/>
  <c r="G16" i="2"/>
  <c r="F16" i="2"/>
  <c r="E16" i="2"/>
  <c r="H13" i="2"/>
  <c r="G13" i="2"/>
  <c r="F13" i="2"/>
  <c r="E13" i="2"/>
  <c r="H12" i="2"/>
  <c r="G12" i="2"/>
  <c r="F12" i="2"/>
  <c r="E12" i="2"/>
  <c r="H11" i="2"/>
  <c r="G11" i="2"/>
  <c r="F11" i="2"/>
  <c r="E11" i="2"/>
  <c r="H10" i="2"/>
  <c r="G10" i="2"/>
  <c r="F10" i="2"/>
  <c r="E10" i="2"/>
  <c r="H9" i="2"/>
  <c r="G9" i="2"/>
  <c r="F9" i="2"/>
  <c r="E9" i="2"/>
  <c r="H8" i="2"/>
  <c r="G8" i="2"/>
  <c r="F8" i="2"/>
  <c r="E8" i="2"/>
  <c r="H6" i="2"/>
  <c r="H7" i="2" s="1"/>
  <c r="G6" i="2"/>
  <c r="G7" i="2" s="1"/>
  <c r="F6" i="2"/>
  <c r="F7" i="2" s="1"/>
  <c r="E6" i="2"/>
  <c r="E7" i="2" s="1"/>
  <c r="H5" i="2"/>
  <c r="G5" i="2"/>
  <c r="F5" i="2"/>
  <c r="E5" i="2"/>
  <c r="B51" i="2" l="1"/>
  <c r="B52" i="2"/>
  <c r="C52" i="2" s="1"/>
  <c r="D40" i="2" s="1"/>
  <c r="C15" i="1" s="1"/>
  <c r="D42" i="2"/>
  <c r="C17" i="1" s="1"/>
  <c r="E14" i="2"/>
  <c r="F14" i="2"/>
  <c r="G14" i="2"/>
  <c r="H14" i="2"/>
  <c r="H7" i="4" s="1"/>
  <c r="H34" i="2"/>
  <c r="G34" i="2"/>
  <c r="F34" i="2"/>
  <c r="E34" i="2"/>
  <c r="E37" i="2"/>
  <c r="H39" i="2"/>
  <c r="G39" i="2"/>
  <c r="F39" i="2"/>
  <c r="E39" i="2"/>
  <c r="H36" i="2"/>
  <c r="G36" i="2"/>
  <c r="F36" i="2"/>
  <c r="E36" i="2"/>
  <c r="D39" i="2" l="1"/>
  <c r="C14" i="1" s="1"/>
  <c r="C20" i="1" s="1"/>
  <c r="H10" i="4"/>
  <c r="H8" i="4"/>
  <c r="H9" i="4"/>
  <c r="D36" i="2"/>
  <c r="C11" i="1" s="1"/>
  <c r="D37" i="2"/>
  <c r="C12" i="1" s="1"/>
  <c r="C7" i="4"/>
  <c r="D7" i="4"/>
  <c r="F7" i="4"/>
  <c r="G7" i="4"/>
  <c r="E7" i="4"/>
  <c r="H32" i="2"/>
  <c r="G32" i="2"/>
  <c r="F32" i="2"/>
  <c r="E32" i="2"/>
  <c r="H31" i="2"/>
  <c r="G31" i="2"/>
  <c r="F31" i="2"/>
  <c r="E31" i="2"/>
  <c r="H30" i="2"/>
  <c r="G30" i="2"/>
  <c r="F30" i="2"/>
  <c r="E30" i="2"/>
  <c r="H29" i="2"/>
  <c r="G29" i="2"/>
  <c r="F29" i="2"/>
  <c r="E29" i="2"/>
  <c r="D10" i="4" l="1"/>
  <c r="D9" i="4"/>
  <c r="D8" i="4"/>
  <c r="E10" i="4"/>
  <c r="E9" i="4"/>
  <c r="E8" i="4"/>
  <c r="G10" i="4"/>
  <c r="G8" i="4"/>
  <c r="G9" i="4"/>
  <c r="F10" i="4"/>
  <c r="F9" i="4"/>
  <c r="F8" i="4"/>
  <c r="C10" i="4"/>
  <c r="C9" i="4"/>
  <c r="C8" i="4"/>
  <c r="F15" i="4"/>
  <c r="E15" i="4"/>
  <c r="C15" i="4"/>
  <c r="G15" i="4"/>
  <c r="D15" i="4"/>
  <c r="H15" i="4"/>
  <c r="E20" i="2"/>
  <c r="E35" i="2" l="1"/>
  <c r="E15" i="2"/>
  <c r="C14" i="4"/>
  <c r="E14" i="4"/>
  <c r="D14" i="4"/>
  <c r="H14" i="4"/>
  <c r="G14" i="4"/>
  <c r="F14" i="4"/>
  <c r="E23" i="2"/>
  <c r="F20" i="2" s="1"/>
  <c r="F15" i="2" s="1"/>
  <c r="E26" i="2"/>
  <c r="E38" i="2" s="1"/>
  <c r="E27" i="2"/>
  <c r="D35" i="2" l="1"/>
  <c r="C10" i="1" s="1"/>
  <c r="F23" i="2"/>
  <c r="G20" i="2" s="1"/>
  <c r="F26" i="2"/>
  <c r="F38" i="2" s="1"/>
  <c r="F27" i="2"/>
  <c r="G27" i="2" l="1"/>
  <c r="G15" i="2"/>
  <c r="G26" i="2"/>
  <c r="G23" i="2"/>
  <c r="H20" i="2" s="1"/>
  <c r="F33" i="2" l="1"/>
  <c r="H40" i="2"/>
  <c r="G40" i="2"/>
  <c r="F40" i="2"/>
  <c r="E40" i="2"/>
  <c r="H33" i="2"/>
  <c r="H15" i="2"/>
  <c r="H26" i="2"/>
  <c r="G33" i="2"/>
  <c r="E33" i="2"/>
  <c r="H27" i="2"/>
  <c r="H23" i="2"/>
  <c r="H38" i="2" l="1"/>
  <c r="C22" i="1"/>
  <c r="D38" i="2" l="1"/>
  <c r="C13" i="1" s="1"/>
  <c r="B56" i="2" l="1"/>
  <c r="C56" i="2" s="1"/>
  <c r="D41" i="2" s="1"/>
  <c r="C16" i="1" s="1"/>
  <c r="B55" i="2"/>
  <c r="C21" i="1" l="1"/>
  <c r="C23" i="1" s="1"/>
  <c r="H41" i="2"/>
  <c r="F41" i="2"/>
  <c r="E41" i="2"/>
  <c r="E43" i="2" s="1"/>
  <c r="E44" i="2" s="1"/>
  <c r="F35" i="2" s="1"/>
  <c r="F43" i="2" s="1"/>
  <c r="F44" i="2" s="1"/>
  <c r="G35" i="2" s="1"/>
  <c r="G43" i="2" s="1"/>
  <c r="G44" i="2" s="1"/>
  <c r="H35" i="2" s="1"/>
  <c r="G41" i="2"/>
  <c r="H43" i="2" l="1"/>
  <c r="H44" i="2" s="1"/>
  <c r="H12" i="4"/>
  <c r="C25" i="1"/>
  <c r="C26" i="1" s="1"/>
  <c r="E12" i="4"/>
  <c r="C12" i="4"/>
  <c r="G12" i="4"/>
  <c r="F12" i="4"/>
  <c r="D12" i="4"/>
  <c r="H13" i="4" l="1"/>
  <c r="H16" i="4" s="1"/>
  <c r="D13" i="4"/>
  <c r="D16" i="4" s="1"/>
  <c r="F13" i="4"/>
  <c r="F16" i="4" s="1"/>
  <c r="C13" i="4"/>
  <c r="C16" i="4" s="1"/>
  <c r="E13" i="4"/>
  <c r="E16" i="4" s="1"/>
  <c r="G13" i="4"/>
  <c r="G16" i="4" s="1"/>
  <c r="B18" i="4" l="1"/>
</calcChain>
</file>

<file path=xl/sharedStrings.xml><?xml version="1.0" encoding="utf-8"?>
<sst xmlns="http://schemas.openxmlformats.org/spreadsheetml/2006/main" count="273" uniqueCount="114">
  <si>
    <t>Description</t>
  </si>
  <si>
    <t>Unit</t>
  </si>
  <si>
    <t>Rs</t>
  </si>
  <si>
    <t>Cost of Machines</t>
  </si>
  <si>
    <t>Sq Ft</t>
  </si>
  <si>
    <t>Hours</t>
  </si>
  <si>
    <t>Life of Machine</t>
  </si>
  <si>
    <t>Years</t>
  </si>
  <si>
    <t>Process 1</t>
  </si>
  <si>
    <t>Process 2</t>
  </si>
  <si>
    <t>Process 3</t>
  </si>
  <si>
    <t>Process 4</t>
  </si>
  <si>
    <t>KW</t>
  </si>
  <si>
    <t>Floor Area Occupied in the Factory</t>
  </si>
  <si>
    <t>Hrs of operation/day</t>
  </si>
  <si>
    <t>Days</t>
  </si>
  <si>
    <t>Kg</t>
  </si>
  <si>
    <t>Procurement price of raw materials</t>
  </si>
  <si>
    <t>Rs/kg</t>
  </si>
  <si>
    <t xml:space="preserve">Processing efficiency </t>
  </si>
  <si>
    <t>Depreciation of fixed assets</t>
  </si>
  <si>
    <t>By product 2</t>
  </si>
  <si>
    <t>Total volume of by product 1 produced</t>
  </si>
  <si>
    <t>Total volume of by product 2 produced</t>
  </si>
  <si>
    <t>%</t>
  </si>
  <si>
    <t>Total Input volume of raw material</t>
  </si>
  <si>
    <t>Total output of Main Product</t>
  </si>
  <si>
    <t>Material Cost</t>
  </si>
  <si>
    <t>Labour Cost</t>
  </si>
  <si>
    <t>Number of production days per month</t>
  </si>
  <si>
    <t>Rent of Premises per Month</t>
  </si>
  <si>
    <t>Supervisor Cost Per Month</t>
  </si>
  <si>
    <t>Other Support Staff - Accountant, Store keeper, Security and cleaners</t>
  </si>
  <si>
    <t>Power Cost</t>
  </si>
  <si>
    <t>Water</t>
  </si>
  <si>
    <t>Amount</t>
  </si>
  <si>
    <t>Labour Required</t>
  </si>
  <si>
    <t>Count</t>
  </si>
  <si>
    <t>Labour Daily Rate</t>
  </si>
  <si>
    <t>Raw Material Transport Cost per Trip</t>
  </si>
  <si>
    <t>Hourly processing capacity of the Machine</t>
  </si>
  <si>
    <t>Number of Trips for Raw Material Transport per Month</t>
  </si>
  <si>
    <t>Repairs and Maintanance</t>
  </si>
  <si>
    <t>Packaging Size</t>
  </si>
  <si>
    <t>Packaging Cost</t>
  </si>
  <si>
    <t>Marketing Cost</t>
  </si>
  <si>
    <t>Scrap Value</t>
  </si>
  <si>
    <t>Raw Material Tranaportation Cost</t>
  </si>
  <si>
    <t>Cost Type</t>
  </si>
  <si>
    <t>Fixed</t>
  </si>
  <si>
    <t>Variable</t>
  </si>
  <si>
    <t>Overhead Cost</t>
  </si>
  <si>
    <t>Total Cost</t>
  </si>
  <si>
    <t>Cost Per Unit of Output</t>
  </si>
  <si>
    <t>Total Amount</t>
  </si>
  <si>
    <t>Total Output</t>
  </si>
  <si>
    <t>Total Fixed Cost</t>
  </si>
  <si>
    <t>Total Variable Cost</t>
  </si>
  <si>
    <t>Variable Cost Per Unit</t>
  </si>
  <si>
    <t>Selling Price Per Unit</t>
  </si>
  <si>
    <t>Contribution</t>
  </si>
  <si>
    <t>Break Even Point</t>
  </si>
  <si>
    <t>Rs / Kg</t>
  </si>
  <si>
    <t>Yearly Cashflow and Profitablility</t>
  </si>
  <si>
    <t>Year 1</t>
  </si>
  <si>
    <t>Year 2</t>
  </si>
  <si>
    <t>Year 3</t>
  </si>
  <si>
    <t>Year 4</t>
  </si>
  <si>
    <t>Year 5</t>
  </si>
  <si>
    <t>Production Capacity</t>
  </si>
  <si>
    <t>Capacity Utilization</t>
  </si>
  <si>
    <t>Variable Cost</t>
  </si>
  <si>
    <t>Operating Cashflow</t>
  </si>
  <si>
    <t>Fixed Cost Excluding Depreciation</t>
  </si>
  <si>
    <t>Depreciation charges</t>
  </si>
  <si>
    <t>Sno.</t>
  </si>
  <si>
    <t>Land Development</t>
  </si>
  <si>
    <t>Civil Works</t>
  </si>
  <si>
    <t>Plant and Machinery</t>
  </si>
  <si>
    <t>Miscelleneous Fixed Assets</t>
  </si>
  <si>
    <t>Preliminary and Pre-operative Expenses</t>
  </si>
  <si>
    <t>Year 0</t>
  </si>
  <si>
    <t>Year 6</t>
  </si>
  <si>
    <t>Project IRR</t>
  </si>
  <si>
    <t>Electricity Units by Machines</t>
  </si>
  <si>
    <t>Net Cashflow excluding Depreciation</t>
  </si>
  <si>
    <t>By product 1</t>
  </si>
  <si>
    <t>Project Establishment Cost</t>
  </si>
  <si>
    <t>Monthly Assumptions</t>
  </si>
  <si>
    <t>Costing Based on Monthly Costing Data</t>
  </si>
  <si>
    <t xml:space="preserve">Break Analysis based on Monthly Sales Volumes and Cost </t>
  </si>
  <si>
    <t>Scap Value %</t>
  </si>
  <si>
    <t>Equity and Grants</t>
  </si>
  <si>
    <t>Loan from Banks</t>
  </si>
  <si>
    <t>Proportion</t>
  </si>
  <si>
    <t>Interest</t>
  </si>
  <si>
    <t>Cash</t>
  </si>
  <si>
    <t>Working Capital finance from banks</t>
  </si>
  <si>
    <t>Interest - Long term Loan</t>
  </si>
  <si>
    <t>Interest - Short term Loan</t>
  </si>
  <si>
    <t>Working Capital Finance</t>
  </si>
  <si>
    <t>Project Finance</t>
  </si>
  <si>
    <t>Working Capital finance</t>
  </si>
  <si>
    <t>Interest on Working capital finance</t>
  </si>
  <si>
    <t>Interest on Project Finance</t>
  </si>
  <si>
    <t>Total project Cost</t>
  </si>
  <si>
    <t>By Product Sale Price</t>
  </si>
  <si>
    <t>Rs/Kg</t>
  </si>
  <si>
    <t>Output Main Product</t>
  </si>
  <si>
    <t>Output By Product Process 1</t>
  </si>
  <si>
    <t>Output By Product Process 2</t>
  </si>
  <si>
    <t>Sales Main Product</t>
  </si>
  <si>
    <t>Sales By Products</t>
  </si>
  <si>
    <t>Selling Price of Main Product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</si>
</sst>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₹&quot;\ #,##0.00;[Red]&quot;₹&quot;\ \-#,##0.00"/>
    <numFmt numFmtId="43" formatCode="_ * #,##0.00_ ;_ * \-#,##0.00_ ;_ * &quot;-&quot;??_ ;_ @_ 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Helvetica Neue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20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49" fontId="2" fillId="2" borderId="4" xfId="0" applyNumberFormat="1" applyFont="1" applyFill="1" applyBorder="1" applyAlignment="1">
      <alignment wrapText="1"/>
    </xf>
    <xf numFmtId="49" fontId="2" fillId="2" borderId="6" xfId="0" applyNumberFormat="1" applyFont="1" applyFill="1" applyBorder="1" applyAlignment="1">
      <alignment wrapText="1"/>
    </xf>
    <xf numFmtId="0" fontId="0" fillId="0" borderId="5" xfId="0" applyBorder="1"/>
    <xf numFmtId="0" fontId="0" fillId="0" borderId="0" xfId="0" applyFill="1" applyBorder="1"/>
    <xf numFmtId="2" fontId="0" fillId="0" borderId="0" xfId="0" applyNumberFormat="1"/>
    <xf numFmtId="0" fontId="0" fillId="0" borderId="1" xfId="0" applyFill="1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4" borderId="1" xfId="0" applyFill="1" applyBorder="1"/>
    <xf numFmtId="2" fontId="0" fillId="4" borderId="1" xfId="0" applyNumberFormat="1" applyFill="1" applyBorder="1"/>
    <xf numFmtId="0" fontId="1" fillId="5" borderId="3" xfId="0" applyFont="1" applyFill="1" applyBorder="1"/>
    <xf numFmtId="2" fontId="1" fillId="5" borderId="3" xfId="0" applyNumberFormat="1" applyFont="1" applyFill="1" applyBorder="1"/>
    <xf numFmtId="2" fontId="1" fillId="5" borderId="9" xfId="0" applyNumberFormat="1" applyFont="1" applyFill="1" applyBorder="1"/>
    <xf numFmtId="49" fontId="2" fillId="5" borderId="6" xfId="0" applyNumberFormat="1" applyFont="1" applyFill="1" applyBorder="1" applyAlignment="1">
      <alignment wrapText="1"/>
    </xf>
    <xf numFmtId="0" fontId="1" fillId="5" borderId="7" xfId="0" applyFont="1" applyFill="1" applyBorder="1"/>
    <xf numFmtId="2" fontId="1" fillId="5" borderId="7" xfId="0" applyNumberFormat="1" applyFont="1" applyFill="1" applyBorder="1"/>
    <xf numFmtId="2" fontId="1" fillId="5" borderId="8" xfId="0" applyNumberFormat="1" applyFont="1" applyFill="1" applyBorder="1"/>
    <xf numFmtId="2" fontId="0" fillId="0" borderId="5" xfId="0" applyNumberFormat="1" applyBorder="1"/>
    <xf numFmtId="49" fontId="2" fillId="5" borderId="4" xfId="0" applyNumberFormat="1" applyFont="1" applyFill="1" applyBorder="1" applyAlignment="1">
      <alignment wrapText="1"/>
    </xf>
    <xf numFmtId="0" fontId="1" fillId="5" borderId="9" xfId="0" applyFont="1" applyFill="1" applyBorder="1"/>
    <xf numFmtId="0" fontId="1" fillId="5" borderId="1" xfId="0" applyFont="1" applyFill="1" applyBorder="1"/>
    <xf numFmtId="0" fontId="1" fillId="5" borderId="5" xfId="0" applyFont="1" applyFill="1" applyBorder="1"/>
    <xf numFmtId="49" fontId="2" fillId="0" borderId="0" xfId="0" applyNumberFormat="1" applyFont="1" applyFill="1" applyBorder="1" applyAlignment="1">
      <alignment wrapText="1"/>
    </xf>
    <xf numFmtId="0" fontId="0" fillId="0" borderId="7" xfId="0" applyFill="1" applyBorder="1"/>
    <xf numFmtId="49" fontId="2" fillId="5" borderId="11" xfId="0" applyNumberFormat="1" applyFont="1" applyFill="1" applyBorder="1" applyAlignment="1">
      <alignment wrapText="1"/>
    </xf>
    <xf numFmtId="0" fontId="1" fillId="5" borderId="12" xfId="0" applyFont="1" applyFill="1" applyBorder="1"/>
    <xf numFmtId="2" fontId="1" fillId="5" borderId="13" xfId="0" applyNumberFormat="1" applyFont="1" applyFill="1" applyBorder="1"/>
    <xf numFmtId="2" fontId="1" fillId="5" borderId="5" xfId="0" applyNumberFormat="1" applyFont="1" applyFill="1" applyBorder="1"/>
    <xf numFmtId="0" fontId="0" fillId="3" borderId="5" xfId="0" applyFill="1" applyBorder="1" applyAlignment="1">
      <alignment wrapText="1"/>
    </xf>
    <xf numFmtId="0" fontId="0" fillId="3" borderId="5" xfId="0" applyFill="1" applyBorder="1"/>
    <xf numFmtId="2" fontId="0" fillId="4" borderId="5" xfId="0" applyNumberFormat="1" applyFill="1" applyBorder="1"/>
    <xf numFmtId="0" fontId="0" fillId="4" borderId="5" xfId="0" applyFill="1" applyBorder="1"/>
    <xf numFmtId="0" fontId="0" fillId="3" borderId="18" xfId="0" applyFill="1" applyBorder="1" applyAlignment="1">
      <alignment wrapText="1"/>
    </xf>
    <xf numFmtId="0" fontId="0" fillId="3" borderId="18" xfId="0" applyFill="1" applyBorder="1"/>
    <xf numFmtId="0" fontId="0" fillId="4" borderId="18" xfId="0" applyFill="1" applyBorder="1"/>
    <xf numFmtId="2" fontId="0" fillId="4" borderId="18" xfId="0" applyNumberFormat="1" applyFill="1" applyBorder="1"/>
    <xf numFmtId="2" fontId="1" fillId="5" borderId="17" xfId="0" applyNumberFormat="1" applyFont="1" applyFill="1" applyBorder="1"/>
    <xf numFmtId="2" fontId="1" fillId="5" borderId="19" xfId="0" applyNumberFormat="1" applyFont="1" applyFill="1" applyBorder="1"/>
    <xf numFmtId="0" fontId="1" fillId="5" borderId="8" xfId="0" applyFont="1" applyFill="1" applyBorder="1"/>
    <xf numFmtId="49" fontId="0" fillId="6" borderId="1" xfId="0" applyNumberFormat="1" applyFill="1" applyBorder="1" applyAlignment="1">
      <alignment wrapText="1"/>
    </xf>
    <xf numFmtId="0" fontId="0" fillId="6" borderId="1" xfId="0" applyFill="1" applyBorder="1"/>
    <xf numFmtId="49" fontId="0" fillId="6" borderId="5" xfId="0" applyNumberFormat="1" applyFill="1" applyBorder="1" applyAlignment="1">
      <alignment wrapText="1"/>
    </xf>
    <xf numFmtId="0" fontId="0" fillId="6" borderId="5" xfId="0" applyFill="1" applyBorder="1"/>
    <xf numFmtId="0" fontId="0" fillId="6" borderId="8" xfId="0" applyFill="1" applyBorder="1"/>
    <xf numFmtId="0" fontId="0" fillId="6" borderId="7" xfId="0" applyFill="1" applyBorder="1"/>
    <xf numFmtId="49" fontId="1" fillId="6" borderId="18" xfId="0" applyNumberFormat="1" applyFont="1" applyFill="1" applyBorder="1" applyAlignment="1">
      <alignment wrapText="1"/>
    </xf>
    <xf numFmtId="0" fontId="1" fillId="6" borderId="18" xfId="0" applyFont="1" applyFill="1" applyBorder="1"/>
    <xf numFmtId="0" fontId="1" fillId="6" borderId="19" xfId="0" applyFont="1" applyFill="1" applyBorder="1"/>
    <xf numFmtId="0" fontId="1" fillId="5" borderId="17" xfId="0" applyFont="1" applyFill="1" applyBorder="1"/>
    <xf numFmtId="0" fontId="1" fillId="5" borderId="19" xfId="0" applyFont="1" applyFill="1" applyBorder="1"/>
    <xf numFmtId="49" fontId="2" fillId="2" borderId="21" xfId="0" applyNumberFormat="1" applyFont="1" applyFill="1" applyBorder="1" applyAlignment="1">
      <alignment wrapText="1"/>
    </xf>
    <xf numFmtId="49" fontId="2" fillId="2" borderId="22" xfId="0" applyNumberFormat="1" applyFont="1" applyFill="1" applyBorder="1" applyAlignment="1">
      <alignment wrapText="1"/>
    </xf>
    <xf numFmtId="49" fontId="2" fillId="5" borderId="20" xfId="0" applyNumberFormat="1" applyFont="1" applyFill="1" applyBorder="1" applyAlignment="1">
      <alignment wrapText="1"/>
    </xf>
    <xf numFmtId="49" fontId="2" fillId="5" borderId="22" xfId="0" applyNumberFormat="1" applyFont="1" applyFill="1" applyBorder="1" applyAlignment="1">
      <alignment wrapText="1"/>
    </xf>
    <xf numFmtId="49" fontId="2" fillId="2" borderId="23" xfId="0" applyNumberFormat="1" applyFont="1" applyFill="1" applyBorder="1" applyAlignment="1">
      <alignment wrapText="1"/>
    </xf>
    <xf numFmtId="49" fontId="1" fillId="6" borderId="24" xfId="0" applyNumberFormat="1" applyFont="1" applyFill="1" applyBorder="1" applyAlignment="1">
      <alignment wrapText="1"/>
    </xf>
    <xf numFmtId="49" fontId="0" fillId="6" borderId="12" xfId="0" applyNumberFormat="1" applyFill="1" applyBorder="1" applyAlignment="1">
      <alignment wrapText="1"/>
    </xf>
    <xf numFmtId="49" fontId="0" fillId="6" borderId="13" xfId="0" applyNumberFormat="1" applyFill="1" applyBorder="1" applyAlignment="1">
      <alignment wrapText="1"/>
    </xf>
    <xf numFmtId="49" fontId="2" fillId="2" borderId="10" xfId="0" applyNumberFormat="1" applyFont="1" applyFill="1" applyBorder="1" applyAlignment="1">
      <alignment vertical="top"/>
    </xf>
    <xf numFmtId="49" fontId="2" fillId="2" borderId="25" xfId="0" applyNumberFormat="1" applyFont="1" applyFill="1" applyBorder="1" applyAlignment="1">
      <alignment vertical="top"/>
    </xf>
    <xf numFmtId="49" fontId="2" fillId="2" borderId="15" xfId="0" applyNumberFormat="1" applyFont="1" applyFill="1" applyBorder="1" applyAlignment="1">
      <alignment vertical="top"/>
    </xf>
    <xf numFmtId="49" fontId="2" fillId="2" borderId="16" xfId="0" applyNumberFormat="1" applyFont="1" applyFill="1" applyBorder="1" applyAlignment="1">
      <alignment vertical="top"/>
    </xf>
    <xf numFmtId="0" fontId="1" fillId="2" borderId="2" xfId="0" applyFont="1" applyFill="1" applyBorder="1"/>
    <xf numFmtId="0" fontId="1" fillId="2" borderId="4" xfId="0" applyFont="1" applyFill="1" applyBorder="1"/>
    <xf numFmtId="0" fontId="0" fillId="7" borderId="1" xfId="0" applyFill="1" applyBorder="1"/>
    <xf numFmtId="0" fontId="0" fillId="7" borderId="5" xfId="0" applyFill="1" applyBorder="1"/>
    <xf numFmtId="0" fontId="1" fillId="9" borderId="4" xfId="0" applyFont="1" applyFill="1" applyBorder="1"/>
    <xf numFmtId="0" fontId="1" fillId="9" borderId="6" xfId="0" applyFont="1" applyFill="1" applyBorder="1"/>
    <xf numFmtId="0" fontId="1" fillId="2" borderId="1" xfId="0" applyFont="1" applyFill="1" applyBorder="1"/>
    <xf numFmtId="9" fontId="0" fillId="7" borderId="1" xfId="0" applyNumberFormat="1" applyFill="1" applyBorder="1"/>
    <xf numFmtId="0" fontId="1" fillId="2" borderId="3" xfId="0" applyFont="1" applyFill="1" applyBorder="1"/>
    <xf numFmtId="0" fontId="1" fillId="2" borderId="9" xfId="0" applyFont="1" applyFill="1" applyBorder="1"/>
    <xf numFmtId="9" fontId="0" fillId="7" borderId="5" xfId="0" applyNumberFormat="1" applyFill="1" applyBorder="1"/>
    <xf numFmtId="8" fontId="0" fillId="0" borderId="0" xfId="0" applyNumberFormat="1"/>
    <xf numFmtId="9" fontId="1" fillId="7" borderId="28" xfId="0" applyNumberFormat="1" applyFont="1" applyFill="1" applyBorder="1"/>
    <xf numFmtId="0" fontId="1" fillId="7" borderId="10" xfId="0" applyFont="1" applyFill="1" applyBorder="1"/>
    <xf numFmtId="49" fontId="2" fillId="2" borderId="29" xfId="0" applyNumberFormat="1" applyFont="1" applyFill="1" applyBorder="1" applyAlignment="1">
      <alignment vertical="top"/>
    </xf>
    <xf numFmtId="49" fontId="2" fillId="2" borderId="30" xfId="0" applyNumberFormat="1" applyFont="1" applyFill="1" applyBorder="1" applyAlignment="1">
      <alignment vertical="top"/>
    </xf>
    <xf numFmtId="49" fontId="2" fillId="2" borderId="31" xfId="0" applyNumberFormat="1" applyFont="1" applyFill="1" applyBorder="1" applyAlignment="1">
      <alignment vertical="top"/>
    </xf>
    <xf numFmtId="49" fontId="2" fillId="2" borderId="32" xfId="0" applyNumberFormat="1" applyFont="1" applyFill="1" applyBorder="1" applyAlignment="1">
      <alignment vertical="top"/>
    </xf>
    <xf numFmtId="49" fontId="2" fillId="2" borderId="2" xfId="0" applyNumberFormat="1" applyFont="1" applyFill="1" applyBorder="1" applyAlignment="1"/>
    <xf numFmtId="49" fontId="2" fillId="2" borderId="4" xfId="0" applyNumberFormat="1" applyFont="1" applyFill="1" applyBorder="1" applyAlignment="1"/>
    <xf numFmtId="0" fontId="0" fillId="10" borderId="4" xfId="0" applyFill="1" applyBorder="1"/>
    <xf numFmtId="0" fontId="0" fillId="10" borderId="1" xfId="0" applyFill="1" applyBorder="1"/>
    <xf numFmtId="0" fontId="0" fillId="10" borderId="5" xfId="0" applyFill="1" applyBorder="1"/>
    <xf numFmtId="49" fontId="1" fillId="11" borderId="3" xfId="0" applyNumberFormat="1" applyFont="1" applyFill="1" applyBorder="1" applyAlignment="1"/>
    <xf numFmtId="49" fontId="0" fillId="11" borderId="3" xfId="0" applyNumberFormat="1" applyFill="1" applyBorder="1" applyAlignment="1"/>
    <xf numFmtId="49" fontId="0" fillId="11" borderId="33" xfId="0" applyNumberFormat="1" applyFill="1" applyBorder="1" applyAlignment="1"/>
    <xf numFmtId="49" fontId="1" fillId="11" borderId="1" xfId="0" applyNumberFormat="1" applyFont="1" applyFill="1" applyBorder="1" applyAlignment="1"/>
    <xf numFmtId="49" fontId="0" fillId="11" borderId="1" xfId="0" applyNumberFormat="1" applyFill="1" applyBorder="1" applyAlignment="1"/>
    <xf numFmtId="49" fontId="0" fillId="11" borderId="34" xfId="0" applyNumberFormat="1" applyFill="1" applyBorder="1" applyAlignment="1"/>
    <xf numFmtId="0" fontId="1" fillId="11" borderId="1" xfId="0" applyFont="1" applyFill="1" applyBorder="1" applyAlignment="1"/>
    <xf numFmtId="0" fontId="0" fillId="11" borderId="1" xfId="0" applyFill="1" applyBorder="1" applyAlignment="1"/>
    <xf numFmtId="0" fontId="0" fillId="11" borderId="34" xfId="0" applyFill="1" applyBorder="1" applyAlignment="1"/>
    <xf numFmtId="0" fontId="0" fillId="3" borderId="24" xfId="0" applyFill="1" applyBorder="1" applyAlignment="1">
      <alignment wrapText="1"/>
    </xf>
    <xf numFmtId="0" fontId="0" fillId="3" borderId="12" xfId="0" applyFill="1" applyBorder="1" applyAlignment="1">
      <alignment wrapText="1"/>
    </xf>
    <xf numFmtId="0" fontId="0" fillId="3" borderId="13" xfId="0" applyFill="1" applyBorder="1" applyAlignment="1">
      <alignment wrapText="1"/>
    </xf>
    <xf numFmtId="9" fontId="0" fillId="3" borderId="18" xfId="0" applyNumberFormat="1" applyFill="1" applyBorder="1"/>
    <xf numFmtId="9" fontId="0" fillId="3" borderId="1" xfId="0" applyNumberFormat="1" applyFill="1" applyBorder="1"/>
    <xf numFmtId="9" fontId="0" fillId="3" borderId="5" xfId="0" applyNumberFormat="1" applyFill="1" applyBorder="1"/>
    <xf numFmtId="0" fontId="0" fillId="3" borderId="18" xfId="0" applyNumberFormat="1" applyFill="1" applyBorder="1"/>
    <xf numFmtId="0" fontId="0" fillId="3" borderId="1" xfId="0" applyNumberFormat="1" applyFill="1" applyBorder="1"/>
    <xf numFmtId="0" fontId="0" fillId="3" borderId="5" xfId="0" applyNumberFormat="1" applyFill="1" applyBorder="1"/>
    <xf numFmtId="0" fontId="0" fillId="4" borderId="19" xfId="0" applyFill="1" applyBorder="1"/>
    <xf numFmtId="0" fontId="0" fillId="4" borderId="7" xfId="0" applyFill="1" applyBorder="1"/>
    <xf numFmtId="0" fontId="0" fillId="4" borderId="8" xfId="0" applyFill="1" applyBorder="1"/>
    <xf numFmtId="0" fontId="0" fillId="0" borderId="4" xfId="0" applyBorder="1" applyAlignment="1">
      <alignment wrapText="1"/>
    </xf>
    <xf numFmtId="0" fontId="0" fillId="9" borderId="18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9" borderId="5" xfId="0" applyFill="1" applyBorder="1" applyAlignment="1">
      <alignment wrapText="1"/>
    </xf>
    <xf numFmtId="9" fontId="0" fillId="9" borderId="18" xfId="1" applyFont="1" applyFill="1" applyBorder="1" applyAlignment="1">
      <alignment wrapText="1"/>
    </xf>
    <xf numFmtId="9" fontId="0" fillId="9" borderId="1" xfId="1" applyFont="1" applyFill="1" applyBorder="1" applyAlignment="1">
      <alignment wrapText="1"/>
    </xf>
    <xf numFmtId="9" fontId="0" fillId="9" borderId="5" xfId="1" applyFont="1" applyFill="1" applyBorder="1" applyAlignment="1">
      <alignment wrapText="1"/>
    </xf>
    <xf numFmtId="0" fontId="0" fillId="9" borderId="18" xfId="0" applyFill="1" applyBorder="1"/>
    <xf numFmtId="0" fontId="0" fillId="9" borderId="1" xfId="0" applyFill="1" applyBorder="1"/>
    <xf numFmtId="0" fontId="0" fillId="9" borderId="5" xfId="0" applyFill="1" applyBorder="1"/>
    <xf numFmtId="2" fontId="0" fillId="9" borderId="18" xfId="0" applyNumberFormat="1" applyFill="1" applyBorder="1"/>
    <xf numFmtId="2" fontId="0" fillId="9" borderId="1" xfId="0" applyNumberFormat="1" applyFill="1" applyBorder="1"/>
    <xf numFmtId="2" fontId="0" fillId="9" borderId="5" xfId="0" applyNumberFormat="1" applyFill="1" applyBorder="1"/>
    <xf numFmtId="49" fontId="2" fillId="2" borderId="11" xfId="0" applyNumberFormat="1" applyFont="1" applyFill="1" applyBorder="1" applyAlignment="1">
      <alignment wrapText="1"/>
    </xf>
    <xf numFmtId="0" fontId="0" fillId="0" borderId="12" xfId="0" applyFill="1" applyBorder="1"/>
    <xf numFmtId="0" fontId="0" fillId="0" borderId="13" xfId="0" applyBorder="1"/>
    <xf numFmtId="49" fontId="2" fillId="2" borderId="14" xfId="0" applyNumberFormat="1" applyFont="1" applyFill="1" applyBorder="1" applyAlignment="1">
      <alignment wrapText="1"/>
    </xf>
    <xf numFmtId="49" fontId="2" fillId="2" borderId="15" xfId="0" applyNumberFormat="1" applyFont="1" applyFill="1" applyBorder="1" applyAlignment="1">
      <alignment wrapText="1"/>
    </xf>
    <xf numFmtId="49" fontId="2" fillId="2" borderId="16" xfId="0" applyNumberFormat="1" applyFont="1" applyFill="1" applyBorder="1" applyAlignment="1">
      <alignment wrapText="1"/>
    </xf>
    <xf numFmtId="9" fontId="0" fillId="0" borderId="0" xfId="0" applyNumberFormat="1"/>
    <xf numFmtId="2" fontId="0" fillId="6" borderId="5" xfId="0" applyNumberFormat="1" applyFill="1" applyBorder="1"/>
    <xf numFmtId="1" fontId="0" fillId="6" borderId="5" xfId="0" applyNumberFormat="1" applyFill="1" applyBorder="1"/>
    <xf numFmtId="9" fontId="0" fillId="0" borderId="0" xfId="0" applyNumberFormat="1" applyAlignment="1">
      <alignment wrapText="1"/>
    </xf>
    <xf numFmtId="0" fontId="1" fillId="0" borderId="0" xfId="0" applyFont="1" applyFill="1" applyBorder="1" applyAlignment="1">
      <alignment wrapText="1"/>
    </xf>
    <xf numFmtId="0" fontId="0" fillId="0" borderId="0" xfId="0" applyFill="1"/>
    <xf numFmtId="0" fontId="1" fillId="0" borderId="0" xfId="0" applyFont="1" applyFill="1" applyBorder="1" applyAlignment="1"/>
    <xf numFmtId="0" fontId="1" fillId="8" borderId="1" xfId="0" applyFont="1" applyFill="1" applyBorder="1" applyAlignment="1">
      <alignment wrapText="1"/>
    </xf>
    <xf numFmtId="0" fontId="0" fillId="0" borderId="0" xfId="0" applyNumberFormat="1"/>
    <xf numFmtId="0" fontId="1" fillId="8" borderId="2" xfId="0" applyFont="1" applyFill="1" applyBorder="1" applyAlignment="1">
      <alignment wrapText="1"/>
    </xf>
    <xf numFmtId="0" fontId="1" fillId="8" borderId="9" xfId="0" applyFont="1" applyFill="1" applyBorder="1" applyAlignment="1">
      <alignment wrapText="1"/>
    </xf>
    <xf numFmtId="0" fontId="0" fillId="0" borderId="4" xfId="0" applyBorder="1"/>
    <xf numFmtId="0" fontId="0" fillId="0" borderId="6" xfId="0" applyBorder="1"/>
    <xf numFmtId="0" fontId="0" fillId="0" borderId="2" xfId="0" applyBorder="1"/>
    <xf numFmtId="0" fontId="0" fillId="0" borderId="0" xfId="0" applyFill="1" applyAlignment="1">
      <alignment wrapText="1"/>
    </xf>
    <xf numFmtId="0" fontId="0" fillId="0" borderId="1" xfId="0" applyNumberFormat="1" applyBorder="1"/>
    <xf numFmtId="0" fontId="0" fillId="0" borderId="1" xfId="0" applyNumberFormat="1" applyBorder="1" applyAlignment="1">
      <alignment wrapText="1"/>
    </xf>
    <xf numFmtId="1" fontId="0" fillId="0" borderId="1" xfId="0" applyNumberFormat="1" applyBorder="1"/>
    <xf numFmtId="0" fontId="1" fillId="8" borderId="4" xfId="0" applyFont="1" applyFill="1" applyBorder="1" applyAlignment="1">
      <alignment wrapText="1"/>
    </xf>
    <xf numFmtId="0" fontId="1" fillId="8" borderId="5" xfId="0" applyFont="1" applyFill="1" applyBorder="1" applyAlignment="1">
      <alignment wrapText="1"/>
    </xf>
    <xf numFmtId="0" fontId="0" fillId="0" borderId="5" xfId="0" applyFill="1" applyBorder="1"/>
    <xf numFmtId="0" fontId="0" fillId="0" borderId="6" xfId="0" applyBorder="1" applyAlignment="1">
      <alignment wrapText="1"/>
    </xf>
    <xf numFmtId="0" fontId="0" fillId="0" borderId="8" xfId="0" applyFill="1" applyBorder="1" applyAlignment="1">
      <alignment wrapText="1"/>
    </xf>
    <xf numFmtId="49" fontId="2" fillId="2" borderId="36" xfId="0" applyNumberFormat="1" applyFont="1" applyFill="1" applyBorder="1" applyAlignment="1">
      <alignment wrapText="1"/>
    </xf>
    <xf numFmtId="0" fontId="1" fillId="6" borderId="37" xfId="0" applyFont="1" applyFill="1" applyBorder="1"/>
    <xf numFmtId="0" fontId="0" fillId="6" borderId="35" xfId="0" applyFill="1" applyBorder="1"/>
    <xf numFmtId="2" fontId="0" fillId="6" borderId="38" xfId="0" applyNumberFormat="1" applyFill="1" applyBorder="1"/>
    <xf numFmtId="2" fontId="0" fillId="4" borderId="37" xfId="0" applyNumberFormat="1" applyFill="1" applyBorder="1"/>
    <xf numFmtId="2" fontId="0" fillId="4" borderId="35" xfId="0" applyNumberFormat="1" applyFill="1" applyBorder="1"/>
    <xf numFmtId="2" fontId="0" fillId="4" borderId="38" xfId="0" applyNumberFormat="1" applyFill="1" applyBorder="1"/>
    <xf numFmtId="1" fontId="0" fillId="0" borderId="7" xfId="0" applyNumberFormat="1" applyBorder="1"/>
    <xf numFmtId="49" fontId="2" fillId="2" borderId="39" xfId="0" applyNumberFormat="1" applyFont="1" applyFill="1" applyBorder="1" applyAlignment="1">
      <alignment wrapText="1"/>
    </xf>
    <xf numFmtId="0" fontId="0" fillId="0" borderId="35" xfId="0" applyFill="1" applyBorder="1"/>
    <xf numFmtId="43" fontId="1" fillId="2" borderId="1" xfId="2" applyFont="1" applyFill="1" applyBorder="1"/>
    <xf numFmtId="43" fontId="0" fillId="7" borderId="1" xfId="2" applyFont="1" applyFill="1" applyBorder="1"/>
    <xf numFmtId="43" fontId="0" fillId="7" borderId="5" xfId="2" applyFont="1" applyFill="1" applyBorder="1"/>
    <xf numFmtId="43" fontId="1" fillId="9" borderId="1" xfId="2" applyFont="1" applyFill="1" applyBorder="1"/>
    <xf numFmtId="43" fontId="1" fillId="9" borderId="5" xfId="2" applyFont="1" applyFill="1" applyBorder="1"/>
    <xf numFmtId="43" fontId="1" fillId="9" borderId="7" xfId="2" applyFont="1" applyFill="1" applyBorder="1"/>
    <xf numFmtId="43" fontId="1" fillId="9" borderId="8" xfId="2" applyFont="1" applyFill="1" applyBorder="1"/>
    <xf numFmtId="0" fontId="1" fillId="12" borderId="26" xfId="0" applyFont="1" applyFill="1" applyBorder="1"/>
    <xf numFmtId="0" fontId="1" fillId="12" borderId="28" xfId="0" applyFont="1" applyFill="1" applyBorder="1"/>
    <xf numFmtId="0" fontId="1" fillId="8" borderId="3" xfId="0" applyFont="1" applyFill="1" applyBorder="1" applyAlignment="1">
      <alignment wrapText="1"/>
    </xf>
    <xf numFmtId="0" fontId="0" fillId="0" borderId="7" xfId="0" applyBorder="1" applyAlignment="1">
      <alignment wrapText="1"/>
    </xf>
    <xf numFmtId="2" fontId="0" fillId="0" borderId="8" xfId="0" applyNumberFormat="1" applyBorder="1"/>
    <xf numFmtId="9" fontId="0" fillId="0" borderId="0" xfId="1" applyFont="1"/>
    <xf numFmtId="49" fontId="2" fillId="2" borderId="39" xfId="0" applyNumberFormat="1" applyFont="1" applyFill="1" applyBorder="1" applyAlignment="1"/>
    <xf numFmtId="0" fontId="1" fillId="11" borderId="35" xfId="0" applyFont="1" applyFill="1" applyBorder="1" applyAlignment="1"/>
    <xf numFmtId="49" fontId="2" fillId="2" borderId="14" xfId="0" applyNumberFormat="1" applyFont="1" applyFill="1" applyBorder="1" applyAlignment="1"/>
    <xf numFmtId="0" fontId="1" fillId="11" borderId="15" xfId="0" applyFont="1" applyFill="1" applyBorder="1" applyAlignment="1"/>
    <xf numFmtId="0" fontId="1" fillId="0" borderId="0" xfId="0" applyFont="1" applyFill="1" applyBorder="1" applyAlignment="1">
      <alignment horizontal="center" wrapText="1"/>
    </xf>
    <xf numFmtId="0" fontId="1" fillId="8" borderId="40" xfId="0" applyFont="1" applyFill="1" applyBorder="1" applyAlignment="1">
      <alignment horizontal="center"/>
    </xf>
    <xf numFmtId="0" fontId="1" fillId="8" borderId="41" xfId="0" applyFont="1" applyFill="1" applyBorder="1" applyAlignment="1">
      <alignment horizontal="center"/>
    </xf>
    <xf numFmtId="0" fontId="1" fillId="8" borderId="42" xfId="0" applyFont="1" applyFill="1" applyBorder="1" applyAlignment="1">
      <alignment horizontal="center"/>
    </xf>
    <xf numFmtId="0" fontId="1" fillId="8" borderId="26" xfId="0" applyFont="1" applyFill="1" applyBorder="1" applyAlignment="1">
      <alignment horizontal="center"/>
    </xf>
    <xf numFmtId="0" fontId="1" fillId="8" borderId="27" xfId="0" applyFont="1" applyFill="1" applyBorder="1" applyAlignment="1">
      <alignment horizontal="center"/>
    </xf>
    <xf numFmtId="0" fontId="1" fillId="8" borderId="28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8" borderId="9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9" xfId="0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5" xfId="0" applyFill="1" applyBorder="1" applyAlignment="1" applyProtection="1">
      <protection locked="0"/>
    </xf>
    <xf numFmtId="9" fontId="0" fillId="0" borderId="4" xfId="0" applyNumberFormat="1" applyFill="1" applyBorder="1" applyAlignment="1" applyProtection="1">
      <protection locked="0"/>
    </xf>
    <xf numFmtId="9" fontId="0" fillId="0" borderId="1" xfId="0" applyNumberFormat="1" applyFill="1" applyBorder="1" applyAlignment="1" applyProtection="1">
      <protection locked="0"/>
    </xf>
    <xf numFmtId="9" fontId="0" fillId="0" borderId="5" xfId="0" applyNumberFormat="1" applyFill="1" applyBorder="1" applyAlignment="1" applyProtection="1">
      <protection locked="0"/>
    </xf>
    <xf numFmtId="0" fontId="0" fillId="0" borderId="4" xfId="0" applyNumberFormat="1" applyFill="1" applyBorder="1" applyAlignment="1" applyProtection="1">
      <protection locked="0"/>
    </xf>
    <xf numFmtId="0" fontId="0" fillId="0" borderId="1" xfId="0" applyNumberFormat="1" applyFill="1" applyBorder="1" applyAlignment="1" applyProtection="1">
      <protection locked="0"/>
    </xf>
    <xf numFmtId="0" fontId="0" fillId="0" borderId="5" xfId="0" applyNumberFormat="1" applyFill="1" applyBorder="1" applyAlignment="1" applyProtection="1">
      <protection locked="0"/>
    </xf>
    <xf numFmtId="0" fontId="0" fillId="0" borderId="6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34" xfId="0" applyFill="1" applyBorder="1" applyAlignment="1" applyProtection="1">
      <protection locked="0"/>
    </xf>
    <xf numFmtId="0" fontId="0" fillId="0" borderId="43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9" fontId="0" fillId="0" borderId="5" xfId="0" applyNumberFormat="1" applyBorder="1" applyProtection="1">
      <protection locked="0"/>
    </xf>
    <xf numFmtId="9" fontId="0" fillId="0" borderId="5" xfId="0" applyNumberFormat="1" applyBorder="1" applyAlignment="1" applyProtection="1">
      <alignment wrapText="1"/>
      <protection locked="0"/>
    </xf>
    <xf numFmtId="9" fontId="0" fillId="0" borderId="8" xfId="0" applyNumberFormat="1" applyBorder="1" applyProtection="1">
      <protection locked="0"/>
    </xf>
    <xf numFmtId="9" fontId="0" fillId="0" borderId="9" xfId="0" applyNumberFormat="1" applyBorder="1" applyProtection="1">
      <protection locked="0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27080-E997-4966-B245-58C166774C5F}">
  <dimension ref="A2:N41"/>
  <sheetViews>
    <sheetView tabSelected="1" workbookViewId="0"/>
  </sheetViews>
  <sheetFormatPr defaultRowHeight="15"/>
  <cols>
    <col min="1" max="1" width="20.42578125" customWidth="1"/>
    <col min="2" max="2" width="16.28515625" customWidth="1"/>
    <col min="3" max="3" width="13.7109375" customWidth="1"/>
    <col min="4" max="4" width="15.42578125" customWidth="1"/>
    <col min="5" max="5" width="18.5703125" customWidth="1"/>
    <col min="6" max="6" width="16.85546875" customWidth="1"/>
    <col min="7" max="7" width="13.5703125" customWidth="1"/>
    <col min="8" max="8" width="14.28515625" customWidth="1"/>
    <col min="10" max="10" width="30.5703125" customWidth="1"/>
    <col min="11" max="11" width="10.5703125" bestFit="1" customWidth="1"/>
  </cols>
  <sheetData>
    <row r="2" spans="1:8" ht="15.75" thickBot="1"/>
    <row r="3" spans="1:8" ht="15.75" thickBot="1">
      <c r="A3" s="184" t="s">
        <v>88</v>
      </c>
      <c r="B3" s="185"/>
      <c r="C3" s="185"/>
      <c r="D3" s="185"/>
      <c r="E3" s="185"/>
      <c r="F3" s="185"/>
      <c r="G3" s="185"/>
      <c r="H3" s="186"/>
    </row>
    <row r="4" spans="1:8" ht="15.75" thickBot="1">
      <c r="A4" s="81" t="s">
        <v>0</v>
      </c>
      <c r="B4" s="82" t="s">
        <v>1</v>
      </c>
      <c r="C4" s="83" t="s">
        <v>48</v>
      </c>
      <c r="D4" s="84" t="s">
        <v>51</v>
      </c>
      <c r="E4" s="82" t="s">
        <v>8</v>
      </c>
      <c r="F4" s="83" t="s">
        <v>9</v>
      </c>
      <c r="G4" s="83" t="s">
        <v>10</v>
      </c>
      <c r="H4" s="84" t="s">
        <v>11</v>
      </c>
    </row>
    <row r="5" spans="1:8" s="1" customFormat="1">
      <c r="A5" s="85" t="s">
        <v>13</v>
      </c>
      <c r="B5" s="90" t="s">
        <v>4</v>
      </c>
      <c r="C5" s="91"/>
      <c r="D5" s="92"/>
      <c r="E5" s="196">
        <v>150</v>
      </c>
      <c r="F5" s="197">
        <v>50</v>
      </c>
      <c r="G5" s="197">
        <v>75</v>
      </c>
      <c r="H5" s="198">
        <v>125</v>
      </c>
    </row>
    <row r="6" spans="1:8" s="1" customFormat="1">
      <c r="A6" s="86" t="s">
        <v>3</v>
      </c>
      <c r="B6" s="93" t="s">
        <v>2</v>
      </c>
      <c r="C6" s="94"/>
      <c r="D6" s="95"/>
      <c r="E6" s="199">
        <v>1000000</v>
      </c>
      <c r="F6" s="200">
        <v>200000</v>
      </c>
      <c r="G6" s="200">
        <v>300000</v>
      </c>
      <c r="H6" s="201">
        <v>500000</v>
      </c>
    </row>
    <row r="7" spans="1:8" s="1" customFormat="1">
      <c r="A7" s="86" t="s">
        <v>6</v>
      </c>
      <c r="B7" s="93" t="s">
        <v>7</v>
      </c>
      <c r="C7" s="94"/>
      <c r="D7" s="95"/>
      <c r="E7" s="199">
        <v>10</v>
      </c>
      <c r="F7" s="200">
        <v>10</v>
      </c>
      <c r="G7" s="200">
        <v>10</v>
      </c>
      <c r="H7" s="201">
        <v>10</v>
      </c>
    </row>
    <row r="8" spans="1:8" s="1" customFormat="1">
      <c r="A8" s="86" t="s">
        <v>91</v>
      </c>
      <c r="B8" s="96" t="s">
        <v>24</v>
      </c>
      <c r="C8" s="97"/>
      <c r="D8" s="98"/>
      <c r="E8" s="202">
        <v>0.05</v>
      </c>
      <c r="F8" s="203">
        <v>0.05</v>
      </c>
      <c r="G8" s="203">
        <v>0.05</v>
      </c>
      <c r="H8" s="204">
        <v>0.05</v>
      </c>
    </row>
    <row r="9" spans="1:8" s="1" customFormat="1">
      <c r="A9" s="86" t="s">
        <v>84</v>
      </c>
      <c r="B9" s="93" t="s">
        <v>12</v>
      </c>
      <c r="C9" s="94"/>
      <c r="D9" s="95"/>
      <c r="E9" s="199">
        <v>20</v>
      </c>
      <c r="F9" s="200">
        <v>20</v>
      </c>
      <c r="G9" s="200">
        <v>10</v>
      </c>
      <c r="H9" s="201">
        <v>10</v>
      </c>
    </row>
    <row r="10" spans="1:8" s="1" customFormat="1">
      <c r="A10" s="86" t="s">
        <v>40</v>
      </c>
      <c r="B10" s="93" t="s">
        <v>16</v>
      </c>
      <c r="C10" s="94"/>
      <c r="D10" s="95"/>
      <c r="E10" s="199">
        <v>100</v>
      </c>
      <c r="F10" s="200">
        <v>100</v>
      </c>
      <c r="G10" s="200">
        <v>100</v>
      </c>
      <c r="H10" s="201">
        <v>100</v>
      </c>
    </row>
    <row r="11" spans="1:8" s="1" customFormat="1">
      <c r="A11" s="86" t="s">
        <v>14</v>
      </c>
      <c r="B11" s="93" t="s">
        <v>5</v>
      </c>
      <c r="C11" s="94"/>
      <c r="D11" s="95"/>
      <c r="E11" s="199">
        <v>5</v>
      </c>
      <c r="F11" s="200">
        <v>6</v>
      </c>
      <c r="G11" s="200">
        <v>6</v>
      </c>
      <c r="H11" s="201">
        <v>5</v>
      </c>
    </row>
    <row r="12" spans="1:8" s="1" customFormat="1">
      <c r="A12" s="86" t="s">
        <v>29</v>
      </c>
      <c r="B12" s="93" t="s">
        <v>15</v>
      </c>
      <c r="C12" s="94"/>
      <c r="D12" s="95"/>
      <c r="E12" s="199">
        <v>25</v>
      </c>
      <c r="F12" s="200">
        <v>25</v>
      </c>
      <c r="G12" s="200">
        <v>25</v>
      </c>
      <c r="H12" s="201">
        <v>25</v>
      </c>
    </row>
    <row r="13" spans="1:8" s="1" customFormat="1">
      <c r="A13" s="86" t="s">
        <v>36</v>
      </c>
      <c r="B13" s="93" t="s">
        <v>37</v>
      </c>
      <c r="C13" s="94"/>
      <c r="D13" s="95"/>
      <c r="E13" s="199">
        <v>2</v>
      </c>
      <c r="F13" s="200">
        <v>2</v>
      </c>
      <c r="G13" s="200">
        <v>2</v>
      </c>
      <c r="H13" s="201">
        <v>2</v>
      </c>
    </row>
    <row r="14" spans="1:8" s="1" customFormat="1">
      <c r="A14" s="86" t="s">
        <v>38</v>
      </c>
      <c r="B14" s="93" t="s">
        <v>2</v>
      </c>
      <c r="C14" s="94"/>
      <c r="D14" s="95"/>
      <c r="E14" s="199">
        <v>300</v>
      </c>
      <c r="F14" s="200">
        <v>300</v>
      </c>
      <c r="G14" s="200">
        <v>300</v>
      </c>
      <c r="H14" s="201">
        <v>300</v>
      </c>
    </row>
    <row r="15" spans="1:8" s="1" customFormat="1">
      <c r="A15" s="86" t="s">
        <v>17</v>
      </c>
      <c r="B15" s="96" t="s">
        <v>18</v>
      </c>
      <c r="C15" s="97"/>
      <c r="D15" s="98"/>
      <c r="E15" s="205">
        <v>55</v>
      </c>
      <c r="F15" s="206">
        <v>0</v>
      </c>
      <c r="G15" s="206">
        <v>0</v>
      </c>
      <c r="H15" s="207">
        <v>0</v>
      </c>
    </row>
    <row r="16" spans="1:8" s="1" customFormat="1">
      <c r="A16" s="86" t="s">
        <v>19</v>
      </c>
      <c r="B16" s="96" t="s">
        <v>24</v>
      </c>
      <c r="C16" s="97"/>
      <c r="D16" s="98"/>
      <c r="E16" s="202">
        <v>0.8</v>
      </c>
      <c r="F16" s="203">
        <v>1</v>
      </c>
      <c r="G16" s="203">
        <v>1</v>
      </c>
      <c r="H16" s="204">
        <v>1</v>
      </c>
    </row>
    <row r="17" spans="1:8" s="1" customFormat="1">
      <c r="A17" s="86" t="s">
        <v>106</v>
      </c>
      <c r="B17" s="96" t="s">
        <v>107</v>
      </c>
      <c r="C17" s="97"/>
      <c r="D17" s="98"/>
      <c r="E17" s="205">
        <v>5</v>
      </c>
      <c r="F17" s="206">
        <v>10</v>
      </c>
      <c r="G17" s="206">
        <v>0</v>
      </c>
      <c r="H17" s="207">
        <v>0</v>
      </c>
    </row>
    <row r="18" spans="1:8" s="1" customFormat="1">
      <c r="A18" s="86" t="s">
        <v>39</v>
      </c>
      <c r="B18" s="96" t="s">
        <v>2</v>
      </c>
      <c r="C18" s="97"/>
      <c r="D18" s="98"/>
      <c r="E18" s="199">
        <v>5000</v>
      </c>
      <c r="F18" s="200">
        <v>0</v>
      </c>
      <c r="G18" s="200">
        <v>0</v>
      </c>
      <c r="H18" s="201">
        <v>0</v>
      </c>
    </row>
    <row r="19" spans="1:8" s="1" customFormat="1">
      <c r="A19" s="86" t="s">
        <v>41</v>
      </c>
      <c r="B19" s="96" t="s">
        <v>37</v>
      </c>
      <c r="C19" s="97"/>
      <c r="D19" s="98"/>
      <c r="E19" s="199">
        <v>2</v>
      </c>
      <c r="F19" s="200">
        <v>0</v>
      </c>
      <c r="G19" s="200">
        <v>0</v>
      </c>
      <c r="H19" s="201">
        <v>0</v>
      </c>
    </row>
    <row r="20" spans="1:8" s="1" customFormat="1">
      <c r="A20" s="86" t="s">
        <v>86</v>
      </c>
      <c r="B20" s="96" t="s">
        <v>24</v>
      </c>
      <c r="C20" s="97"/>
      <c r="D20" s="98"/>
      <c r="E20" s="202">
        <v>0.1</v>
      </c>
      <c r="F20" s="203">
        <v>0.15</v>
      </c>
      <c r="G20" s="203">
        <v>0</v>
      </c>
      <c r="H20" s="204">
        <v>0</v>
      </c>
    </row>
    <row r="21" spans="1:8" s="1" customFormat="1">
      <c r="A21" s="86" t="s">
        <v>21</v>
      </c>
      <c r="B21" s="96" t="s">
        <v>24</v>
      </c>
      <c r="C21" s="97"/>
      <c r="D21" s="98"/>
      <c r="E21" s="202">
        <v>0</v>
      </c>
      <c r="F21" s="203">
        <v>0</v>
      </c>
      <c r="G21" s="203">
        <v>0</v>
      </c>
      <c r="H21" s="204">
        <v>0</v>
      </c>
    </row>
    <row r="22" spans="1:8" s="1" customFormat="1">
      <c r="A22" s="86" t="s">
        <v>43</v>
      </c>
      <c r="B22" s="96" t="s">
        <v>16</v>
      </c>
      <c r="C22" s="97"/>
      <c r="D22" s="98"/>
      <c r="E22" s="199">
        <v>5</v>
      </c>
      <c r="F22" s="200">
        <v>5</v>
      </c>
      <c r="G22" s="200">
        <v>5</v>
      </c>
      <c r="H22" s="201">
        <v>5</v>
      </c>
    </row>
    <row r="23" spans="1:8">
      <c r="A23" s="86" t="s">
        <v>30</v>
      </c>
      <c r="B23" s="96" t="s">
        <v>2</v>
      </c>
      <c r="C23" s="96" t="s">
        <v>49</v>
      </c>
      <c r="D23" s="211">
        <v>20000</v>
      </c>
      <c r="E23" s="87"/>
      <c r="F23" s="88"/>
      <c r="G23" s="88"/>
      <c r="H23" s="89"/>
    </row>
    <row r="24" spans="1:8">
      <c r="A24" s="86" t="s">
        <v>31</v>
      </c>
      <c r="B24" s="96" t="s">
        <v>2</v>
      </c>
      <c r="C24" s="96" t="s">
        <v>49</v>
      </c>
      <c r="D24" s="211">
        <v>15000</v>
      </c>
      <c r="E24" s="87"/>
      <c r="F24" s="88"/>
      <c r="G24" s="88"/>
      <c r="H24" s="89"/>
    </row>
    <row r="25" spans="1:8">
      <c r="A25" s="86" t="s">
        <v>32</v>
      </c>
      <c r="B25" s="96" t="s">
        <v>2</v>
      </c>
      <c r="C25" s="96" t="s">
        <v>49</v>
      </c>
      <c r="D25" s="211">
        <v>30000</v>
      </c>
      <c r="E25" s="87"/>
      <c r="F25" s="88"/>
      <c r="G25" s="88"/>
      <c r="H25" s="89"/>
    </row>
    <row r="26" spans="1:8">
      <c r="A26" s="86" t="s">
        <v>33</v>
      </c>
      <c r="B26" s="96" t="s">
        <v>2</v>
      </c>
      <c r="C26" s="96" t="s">
        <v>50</v>
      </c>
      <c r="D26" s="211">
        <v>20000</v>
      </c>
      <c r="E26" s="87"/>
      <c r="F26" s="88"/>
      <c r="G26" s="88"/>
      <c r="H26" s="89"/>
    </row>
    <row r="27" spans="1:8">
      <c r="A27" s="86" t="s">
        <v>34</v>
      </c>
      <c r="B27" s="96" t="s">
        <v>2</v>
      </c>
      <c r="C27" s="96" t="s">
        <v>50</v>
      </c>
      <c r="D27" s="211">
        <v>2000</v>
      </c>
      <c r="E27" s="87"/>
      <c r="F27" s="88"/>
      <c r="G27" s="88"/>
      <c r="H27" s="89"/>
    </row>
    <row r="28" spans="1:8">
      <c r="A28" s="86" t="s">
        <v>42</v>
      </c>
      <c r="B28" s="96" t="s">
        <v>2</v>
      </c>
      <c r="C28" s="96" t="s">
        <v>49</v>
      </c>
      <c r="D28" s="211">
        <v>10000</v>
      </c>
      <c r="E28" s="87"/>
      <c r="F28" s="88"/>
      <c r="G28" s="88"/>
      <c r="H28" s="89"/>
    </row>
    <row r="29" spans="1:8" ht="15.75" thickBot="1">
      <c r="A29" s="176" t="s">
        <v>45</v>
      </c>
      <c r="B29" s="177" t="s">
        <v>2</v>
      </c>
      <c r="C29" s="177" t="s">
        <v>49</v>
      </c>
      <c r="D29" s="212">
        <v>7000</v>
      </c>
      <c r="E29" s="208">
        <v>1000</v>
      </c>
      <c r="F29" s="209">
        <v>1000</v>
      </c>
      <c r="G29" s="209">
        <v>0</v>
      </c>
      <c r="H29" s="210">
        <v>5000</v>
      </c>
    </row>
    <row r="30" spans="1:8" ht="15.75" thickBot="1">
      <c r="A30" s="178" t="s">
        <v>113</v>
      </c>
      <c r="B30" s="179" t="s">
        <v>2</v>
      </c>
      <c r="C30" s="179"/>
      <c r="D30" s="213">
        <v>120</v>
      </c>
    </row>
    <row r="32" spans="1:8" ht="15.75" thickBot="1"/>
    <row r="33" spans="1:14" ht="14.25" customHeight="1" thickBot="1">
      <c r="A33" s="181" t="s">
        <v>87</v>
      </c>
      <c r="B33" s="182"/>
      <c r="C33" s="183"/>
      <c r="E33" s="184" t="s">
        <v>101</v>
      </c>
      <c r="F33" s="186"/>
      <c r="G33" s="136"/>
      <c r="H33" s="136"/>
      <c r="K33" s="9"/>
    </row>
    <row r="34" spans="1:14">
      <c r="A34" s="139" t="s">
        <v>75</v>
      </c>
      <c r="B34" s="172" t="s">
        <v>0</v>
      </c>
      <c r="C34" s="140" t="s">
        <v>35</v>
      </c>
      <c r="E34" s="139" t="s">
        <v>0</v>
      </c>
      <c r="F34" s="140" t="s">
        <v>94</v>
      </c>
      <c r="G34" s="134"/>
      <c r="H34" s="134"/>
      <c r="J34" s="134"/>
      <c r="K34" s="134"/>
      <c r="L34" s="134"/>
      <c r="M34" s="134"/>
      <c r="N34" s="135"/>
    </row>
    <row r="35" spans="1:14" ht="30">
      <c r="A35" s="111">
        <v>1</v>
      </c>
      <c r="B35" s="3" t="s">
        <v>76</v>
      </c>
      <c r="C35" s="214">
        <v>1000000</v>
      </c>
      <c r="E35" s="141" t="s">
        <v>92</v>
      </c>
      <c r="F35" s="216">
        <v>0.65</v>
      </c>
      <c r="K35" s="130"/>
    </row>
    <row r="36" spans="1:14" s="2" customFormat="1" ht="27.75" customHeight="1">
      <c r="A36" s="111">
        <v>2</v>
      </c>
      <c r="B36" s="3" t="s">
        <v>77</v>
      </c>
      <c r="C36" s="214">
        <v>2000000</v>
      </c>
      <c r="E36" s="111" t="s">
        <v>93</v>
      </c>
      <c r="F36" s="217">
        <v>0.35</v>
      </c>
      <c r="K36" s="133"/>
    </row>
    <row r="37" spans="1:14" ht="30.75" thickBot="1">
      <c r="A37" s="111">
        <v>3</v>
      </c>
      <c r="B37" s="3" t="s">
        <v>78</v>
      </c>
      <c r="C37" s="214">
        <v>2000000</v>
      </c>
      <c r="E37" s="142" t="s">
        <v>98</v>
      </c>
      <c r="F37" s="218">
        <v>0.06</v>
      </c>
      <c r="K37" s="130"/>
    </row>
    <row r="38" spans="1:14" ht="30.75" thickBot="1">
      <c r="A38" s="111">
        <v>4</v>
      </c>
      <c r="B38" s="3" t="s">
        <v>79</v>
      </c>
      <c r="C38" s="214">
        <v>500000</v>
      </c>
      <c r="E38" s="184" t="s">
        <v>100</v>
      </c>
      <c r="F38" s="186"/>
    </row>
    <row r="39" spans="1:14" ht="45.75" thickBot="1">
      <c r="A39" s="151">
        <v>6</v>
      </c>
      <c r="B39" s="173" t="s">
        <v>80</v>
      </c>
      <c r="C39" s="215">
        <v>500000</v>
      </c>
      <c r="E39" s="143" t="s">
        <v>96</v>
      </c>
      <c r="F39" s="219">
        <v>0.65</v>
      </c>
    </row>
    <row r="40" spans="1:14" ht="29.25" customHeight="1">
      <c r="A40" s="180"/>
      <c r="B40" s="180"/>
      <c r="C40" s="134"/>
      <c r="E40" s="111" t="s">
        <v>97</v>
      </c>
      <c r="F40" s="217">
        <v>0.35</v>
      </c>
    </row>
    <row r="41" spans="1:14" ht="15.75" thickBot="1">
      <c r="E41" s="142" t="s">
        <v>99</v>
      </c>
      <c r="F41" s="218">
        <v>0.09</v>
      </c>
    </row>
  </sheetData>
  <sheetProtection algorithmName="SHA-512" hashValue="Poa84wGPuALvkLA7x/a7ri2VKS8tQO+ypWDXSqHrLaf90zA7cdfKV0Bbrl/9ZdgcffPDmE5L2W3E67LQTM8juQ==" saltValue="iPVifxzJgsfUYrKvJ8fgQQ==" spinCount="100000" sheet="1" objects="1" scenarios="1"/>
  <mergeCells count="5">
    <mergeCell ref="A40:B40"/>
    <mergeCell ref="A33:C33"/>
    <mergeCell ref="A3:H3"/>
    <mergeCell ref="E38:F38"/>
    <mergeCell ref="E33:F3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DCADE-4D3A-4F96-8C86-ED793A82F5B0}">
  <dimension ref="A2:M57"/>
  <sheetViews>
    <sheetView zoomScaleNormal="100" workbookViewId="0">
      <selection activeCell="J21" sqref="J21"/>
    </sheetView>
  </sheetViews>
  <sheetFormatPr defaultRowHeight="15"/>
  <cols>
    <col min="1" max="1" width="27.85546875" bestFit="1" customWidth="1"/>
    <col min="2" max="4" width="15.5703125" customWidth="1"/>
    <col min="5" max="5" width="12.5703125" customWidth="1"/>
    <col min="6" max="6" width="13" customWidth="1"/>
    <col min="7" max="7" width="14.42578125" customWidth="1"/>
    <col min="8" max="8" width="15.28515625" customWidth="1"/>
    <col min="10" max="10" width="9.5703125" bestFit="1" customWidth="1"/>
    <col min="12" max="12" width="11.5703125" bestFit="1" customWidth="1"/>
    <col min="13" max="13" width="12.5703125" customWidth="1"/>
  </cols>
  <sheetData>
    <row r="2" spans="1:8" ht="15.75" thickBot="1"/>
    <row r="3" spans="1:8" ht="15.75" thickBot="1">
      <c r="A3" s="184" t="s">
        <v>89</v>
      </c>
      <c r="B3" s="185"/>
      <c r="C3" s="185"/>
      <c r="D3" s="185"/>
      <c r="E3" s="185"/>
      <c r="F3" s="185"/>
      <c r="G3" s="185"/>
      <c r="H3" s="186"/>
    </row>
    <row r="4" spans="1:8" s="1" customFormat="1" ht="15.75" thickBot="1">
      <c r="A4" s="63" t="s">
        <v>0</v>
      </c>
      <c r="B4" s="64" t="s">
        <v>1</v>
      </c>
      <c r="C4" s="65" t="s">
        <v>48</v>
      </c>
      <c r="D4" s="66" t="s">
        <v>51</v>
      </c>
      <c r="E4" s="64" t="s">
        <v>8</v>
      </c>
      <c r="F4" s="65" t="s">
        <v>9</v>
      </c>
      <c r="G4" s="65" t="s">
        <v>10</v>
      </c>
      <c r="H4" s="66" t="s">
        <v>11</v>
      </c>
    </row>
    <row r="5" spans="1:8" s="2" customFormat="1" ht="26.25">
      <c r="A5" s="59" t="s">
        <v>13</v>
      </c>
      <c r="B5" s="60" t="s">
        <v>4</v>
      </c>
      <c r="C5" s="61"/>
      <c r="D5" s="62"/>
      <c r="E5" s="99">
        <f>Assumptions!E5</f>
        <v>150</v>
      </c>
      <c r="F5" s="100">
        <f>Assumptions!F5</f>
        <v>50</v>
      </c>
      <c r="G5" s="100">
        <f>Assumptions!G5</f>
        <v>75</v>
      </c>
      <c r="H5" s="101">
        <f>Assumptions!H5</f>
        <v>125</v>
      </c>
    </row>
    <row r="6" spans="1:8" s="2" customFormat="1">
      <c r="A6" s="55" t="s">
        <v>3</v>
      </c>
      <c r="B6" s="50" t="s">
        <v>2</v>
      </c>
      <c r="C6" s="44"/>
      <c r="D6" s="46"/>
      <c r="E6" s="37">
        <f>Assumptions!E6</f>
        <v>1000000</v>
      </c>
      <c r="F6" s="12">
        <f>Assumptions!F6</f>
        <v>200000</v>
      </c>
      <c r="G6" s="12">
        <f>Assumptions!G6</f>
        <v>300000</v>
      </c>
      <c r="H6" s="33">
        <f>Assumptions!H6</f>
        <v>500000</v>
      </c>
    </row>
    <row r="7" spans="1:8" s="2" customFormat="1">
      <c r="A7" s="55" t="s">
        <v>46</v>
      </c>
      <c r="B7" s="50" t="s">
        <v>2</v>
      </c>
      <c r="C7" s="44"/>
      <c r="D7" s="46"/>
      <c r="E7" s="37">
        <f>E6*Assumptions!E8</f>
        <v>50000</v>
      </c>
      <c r="F7" s="12">
        <f>F6*Assumptions!F8</f>
        <v>10000</v>
      </c>
      <c r="G7" s="12">
        <f>G6*Assumptions!G8</f>
        <v>15000</v>
      </c>
      <c r="H7" s="33">
        <f>H6*Assumptions!H8</f>
        <v>25000</v>
      </c>
    </row>
    <row r="8" spans="1:8" s="2" customFormat="1">
      <c r="A8" s="55" t="s">
        <v>6</v>
      </c>
      <c r="B8" s="50" t="s">
        <v>7</v>
      </c>
      <c r="C8" s="44"/>
      <c r="D8" s="46"/>
      <c r="E8" s="37">
        <f>Assumptions!E7</f>
        <v>10</v>
      </c>
      <c r="F8" s="12">
        <f>Assumptions!F7</f>
        <v>10</v>
      </c>
      <c r="G8" s="12">
        <f>Assumptions!G7</f>
        <v>10</v>
      </c>
      <c r="H8" s="33">
        <f>Assumptions!H7</f>
        <v>10</v>
      </c>
    </row>
    <row r="9" spans="1:8">
      <c r="A9" s="55" t="s">
        <v>20</v>
      </c>
      <c r="B9" s="51" t="s">
        <v>24</v>
      </c>
      <c r="C9" s="45"/>
      <c r="D9" s="47"/>
      <c r="E9" s="102">
        <f>Assumptions!E8</f>
        <v>0.05</v>
      </c>
      <c r="F9" s="103">
        <f>Assumptions!F8</f>
        <v>0.05</v>
      </c>
      <c r="G9" s="103">
        <f>Assumptions!G8</f>
        <v>0.05</v>
      </c>
      <c r="H9" s="104">
        <f>Assumptions!H8</f>
        <v>0.05</v>
      </c>
    </row>
    <row r="10" spans="1:8" s="2" customFormat="1">
      <c r="A10" s="55" t="s">
        <v>84</v>
      </c>
      <c r="B10" s="50" t="s">
        <v>12</v>
      </c>
      <c r="C10" s="44"/>
      <c r="D10" s="46"/>
      <c r="E10" s="37">
        <f>Assumptions!E9</f>
        <v>20</v>
      </c>
      <c r="F10" s="12">
        <f>Assumptions!F9</f>
        <v>20</v>
      </c>
      <c r="G10" s="12">
        <f>Assumptions!G9</f>
        <v>10</v>
      </c>
      <c r="H10" s="33">
        <f>Assumptions!H9</f>
        <v>10</v>
      </c>
    </row>
    <row r="11" spans="1:8" s="2" customFormat="1" ht="26.25">
      <c r="A11" s="55" t="s">
        <v>40</v>
      </c>
      <c r="B11" s="50" t="s">
        <v>16</v>
      </c>
      <c r="C11" s="44"/>
      <c r="D11" s="46"/>
      <c r="E11" s="37">
        <f>Assumptions!E10</f>
        <v>100</v>
      </c>
      <c r="F11" s="12">
        <f>Assumptions!F10</f>
        <v>100</v>
      </c>
      <c r="G11" s="12">
        <f>Assumptions!G10</f>
        <v>100</v>
      </c>
      <c r="H11" s="33">
        <f>Assumptions!H10</f>
        <v>100</v>
      </c>
    </row>
    <row r="12" spans="1:8" s="2" customFormat="1">
      <c r="A12" s="55" t="s">
        <v>14</v>
      </c>
      <c r="B12" s="50" t="s">
        <v>5</v>
      </c>
      <c r="C12" s="44"/>
      <c r="D12" s="46"/>
      <c r="E12" s="37">
        <f>Assumptions!E11</f>
        <v>5</v>
      </c>
      <c r="F12" s="12">
        <f>Assumptions!F11</f>
        <v>6</v>
      </c>
      <c r="G12" s="12">
        <f>Assumptions!G11</f>
        <v>6</v>
      </c>
      <c r="H12" s="33">
        <f>Assumptions!H11</f>
        <v>5</v>
      </c>
    </row>
    <row r="13" spans="1:8" s="2" customFormat="1" ht="26.25">
      <c r="A13" s="55" t="s">
        <v>29</v>
      </c>
      <c r="B13" s="50" t="s">
        <v>15</v>
      </c>
      <c r="C13" s="44"/>
      <c r="D13" s="46"/>
      <c r="E13" s="37">
        <f>Assumptions!E12</f>
        <v>25</v>
      </c>
      <c r="F13" s="12">
        <f>Assumptions!F12</f>
        <v>25</v>
      </c>
      <c r="G13" s="12">
        <f>Assumptions!G12</f>
        <v>25</v>
      </c>
      <c r="H13" s="33">
        <f>Assumptions!H12</f>
        <v>25</v>
      </c>
    </row>
    <row r="14" spans="1:8" s="2" customFormat="1">
      <c r="A14" s="55" t="s">
        <v>69</v>
      </c>
      <c r="B14" s="50" t="s">
        <v>16</v>
      </c>
      <c r="C14" s="44"/>
      <c r="D14" s="46"/>
      <c r="E14" s="112">
        <f>E13*10*E11</f>
        <v>25000</v>
      </c>
      <c r="F14" s="113">
        <f t="shared" ref="F14:H14" si="0">F13*10*F11</f>
        <v>25000</v>
      </c>
      <c r="G14" s="113">
        <f t="shared" si="0"/>
        <v>25000</v>
      </c>
      <c r="H14" s="114">
        <f t="shared" si="0"/>
        <v>25000</v>
      </c>
    </row>
    <row r="15" spans="1:8" s="2" customFormat="1">
      <c r="A15" s="55" t="s">
        <v>70</v>
      </c>
      <c r="B15" s="50" t="s">
        <v>16</v>
      </c>
      <c r="C15" s="44"/>
      <c r="D15" s="46"/>
      <c r="E15" s="115">
        <f>E20/E14</f>
        <v>0.5</v>
      </c>
      <c r="F15" s="116">
        <f t="shared" ref="F15:H15" si="1">F20/F14</f>
        <v>0.4</v>
      </c>
      <c r="G15" s="116">
        <f t="shared" si="1"/>
        <v>0.4</v>
      </c>
      <c r="H15" s="117">
        <f t="shared" si="1"/>
        <v>0.4</v>
      </c>
    </row>
    <row r="16" spans="1:8" s="2" customFormat="1">
      <c r="A16" s="55" t="s">
        <v>36</v>
      </c>
      <c r="B16" s="50" t="s">
        <v>37</v>
      </c>
      <c r="C16" s="44"/>
      <c r="D16" s="46"/>
      <c r="E16" s="37">
        <f>Assumptions!E13</f>
        <v>2</v>
      </c>
      <c r="F16" s="12">
        <f>Assumptions!F13</f>
        <v>2</v>
      </c>
      <c r="G16" s="12">
        <f>Assumptions!G13</f>
        <v>2</v>
      </c>
      <c r="H16" s="33">
        <f>Assumptions!H13</f>
        <v>2</v>
      </c>
    </row>
    <row r="17" spans="1:11" s="2" customFormat="1">
      <c r="A17" s="55" t="s">
        <v>38</v>
      </c>
      <c r="B17" s="50" t="s">
        <v>2</v>
      </c>
      <c r="C17" s="44"/>
      <c r="D17" s="46"/>
      <c r="E17" s="37">
        <f>Assumptions!E14</f>
        <v>300</v>
      </c>
      <c r="F17" s="12">
        <f>Assumptions!F14</f>
        <v>300</v>
      </c>
      <c r="G17" s="12">
        <f>Assumptions!G14</f>
        <v>300</v>
      </c>
      <c r="H17" s="33">
        <f>Assumptions!H14</f>
        <v>300</v>
      </c>
    </row>
    <row r="18" spans="1:11" ht="26.25">
      <c r="A18" s="55" t="s">
        <v>17</v>
      </c>
      <c r="B18" s="51" t="s">
        <v>18</v>
      </c>
      <c r="C18" s="45"/>
      <c r="D18" s="47"/>
      <c r="E18" s="105">
        <f>Assumptions!E15</f>
        <v>55</v>
      </c>
      <c r="F18" s="106">
        <f>Assumptions!F15</f>
        <v>0</v>
      </c>
      <c r="G18" s="106">
        <f>Assumptions!G15</f>
        <v>0</v>
      </c>
      <c r="H18" s="107">
        <f>Assumptions!H15</f>
        <v>0</v>
      </c>
    </row>
    <row r="19" spans="1:11">
      <c r="A19" s="55" t="s">
        <v>19</v>
      </c>
      <c r="B19" s="51" t="s">
        <v>24</v>
      </c>
      <c r="C19" s="45"/>
      <c r="D19" s="47"/>
      <c r="E19" s="102">
        <f>Assumptions!E16</f>
        <v>0.8</v>
      </c>
      <c r="F19" s="103">
        <f>Assumptions!F16</f>
        <v>1</v>
      </c>
      <c r="G19" s="103">
        <f>Assumptions!G16</f>
        <v>1</v>
      </c>
      <c r="H19" s="104">
        <f>Assumptions!H16</f>
        <v>1</v>
      </c>
    </row>
    <row r="20" spans="1:11" ht="26.25">
      <c r="A20" s="55" t="s">
        <v>25</v>
      </c>
      <c r="B20" s="51" t="s">
        <v>16</v>
      </c>
      <c r="C20" s="45"/>
      <c r="D20" s="47"/>
      <c r="E20" s="118">
        <f>E11*E12*E13</f>
        <v>12500</v>
      </c>
      <c r="F20" s="119">
        <f>E23</f>
        <v>10000</v>
      </c>
      <c r="G20" s="119">
        <f>F23</f>
        <v>10000</v>
      </c>
      <c r="H20" s="120">
        <f>G23</f>
        <v>10000</v>
      </c>
    </row>
    <row r="21" spans="1:11" ht="26.25">
      <c r="A21" s="55" t="s">
        <v>39</v>
      </c>
      <c r="B21" s="51" t="s">
        <v>2</v>
      </c>
      <c r="C21" s="45"/>
      <c r="D21" s="47"/>
      <c r="E21" s="38">
        <f>Assumptions!E18</f>
        <v>5000</v>
      </c>
      <c r="F21" s="11">
        <f>Assumptions!F18</f>
        <v>0</v>
      </c>
      <c r="G21" s="11">
        <f>Assumptions!G18</f>
        <v>0</v>
      </c>
      <c r="H21" s="34">
        <f>Assumptions!H18</f>
        <v>0</v>
      </c>
      <c r="K21" s="175"/>
    </row>
    <row r="22" spans="1:11" ht="26.25">
      <c r="A22" s="55" t="s">
        <v>41</v>
      </c>
      <c r="B22" s="51" t="s">
        <v>37</v>
      </c>
      <c r="C22" s="45"/>
      <c r="D22" s="47"/>
      <c r="E22" s="38">
        <f>Assumptions!E19</f>
        <v>2</v>
      </c>
      <c r="F22" s="11">
        <f>Assumptions!F19</f>
        <v>0</v>
      </c>
      <c r="G22" s="11">
        <f>Assumptions!G19</f>
        <v>0</v>
      </c>
      <c r="H22" s="34">
        <f>Assumptions!H19</f>
        <v>0</v>
      </c>
      <c r="K22" s="175"/>
    </row>
    <row r="23" spans="1:11">
      <c r="A23" s="55" t="s">
        <v>26</v>
      </c>
      <c r="B23" s="51" t="s">
        <v>16</v>
      </c>
      <c r="C23" s="45"/>
      <c r="D23" s="47"/>
      <c r="E23" s="118">
        <f>E20*E19</f>
        <v>10000</v>
      </c>
      <c r="F23" s="119">
        <f>F20*F19</f>
        <v>10000</v>
      </c>
      <c r="G23" s="119">
        <f>G20*G19</f>
        <v>10000</v>
      </c>
      <c r="H23" s="120">
        <f>H20*H19</f>
        <v>10000</v>
      </c>
    </row>
    <row r="24" spans="1:11">
      <c r="A24" s="55" t="s">
        <v>86</v>
      </c>
      <c r="B24" s="51" t="s">
        <v>24</v>
      </c>
      <c r="C24" s="45"/>
      <c r="D24" s="47"/>
      <c r="E24" s="102">
        <f>Assumptions!E20</f>
        <v>0.1</v>
      </c>
      <c r="F24" s="103">
        <f>Assumptions!F20</f>
        <v>0.15</v>
      </c>
      <c r="G24" s="103">
        <f>Assumptions!G20</f>
        <v>0</v>
      </c>
      <c r="H24" s="104">
        <f>Assumptions!H20</f>
        <v>0</v>
      </c>
    </row>
    <row r="25" spans="1:11">
      <c r="A25" s="55" t="s">
        <v>21</v>
      </c>
      <c r="B25" s="51" t="s">
        <v>24</v>
      </c>
      <c r="C25" s="45"/>
      <c r="D25" s="47"/>
      <c r="E25" s="102">
        <f>Assumptions!E21</f>
        <v>0</v>
      </c>
      <c r="F25" s="103">
        <f>Assumptions!F21</f>
        <v>0</v>
      </c>
      <c r="G25" s="103">
        <f>Assumptions!G21</f>
        <v>0</v>
      </c>
      <c r="H25" s="104">
        <f>Assumptions!H21</f>
        <v>0</v>
      </c>
    </row>
    <row r="26" spans="1:11" ht="26.25">
      <c r="A26" s="55" t="s">
        <v>22</v>
      </c>
      <c r="B26" s="51" t="s">
        <v>16</v>
      </c>
      <c r="C26" s="45"/>
      <c r="D26" s="47"/>
      <c r="E26" s="118">
        <f>E20*E24</f>
        <v>1250</v>
      </c>
      <c r="F26" s="119">
        <f>F20*F24</f>
        <v>1500</v>
      </c>
      <c r="G26" s="119">
        <f>G20*G24</f>
        <v>0</v>
      </c>
      <c r="H26" s="120">
        <f>H20*H24</f>
        <v>0</v>
      </c>
    </row>
    <row r="27" spans="1:11" ht="26.25">
      <c r="A27" s="55" t="s">
        <v>23</v>
      </c>
      <c r="B27" s="51" t="s">
        <v>16</v>
      </c>
      <c r="C27" s="45"/>
      <c r="D27" s="47"/>
      <c r="E27" s="118">
        <f>E20*E25</f>
        <v>0</v>
      </c>
      <c r="F27" s="119">
        <f>F20*F25</f>
        <v>0</v>
      </c>
      <c r="G27" s="119">
        <f>G20*G25</f>
        <v>0</v>
      </c>
      <c r="H27" s="120">
        <f>H20*H25</f>
        <v>0</v>
      </c>
    </row>
    <row r="28" spans="1:11">
      <c r="A28" s="55" t="s">
        <v>43</v>
      </c>
      <c r="B28" s="51" t="s">
        <v>16</v>
      </c>
      <c r="C28" s="45"/>
      <c r="D28" s="47"/>
      <c r="E28" s="38">
        <f>Assumptions!E22</f>
        <v>5</v>
      </c>
      <c r="F28" s="11">
        <f>Assumptions!F22</f>
        <v>5</v>
      </c>
      <c r="G28" s="11">
        <f>Assumptions!G22</f>
        <v>5</v>
      </c>
      <c r="H28" s="34">
        <f>Assumptions!H22</f>
        <v>5</v>
      </c>
    </row>
    <row r="29" spans="1:11">
      <c r="A29" s="55" t="s">
        <v>30</v>
      </c>
      <c r="B29" s="51" t="s">
        <v>2</v>
      </c>
      <c r="C29" s="45" t="s">
        <v>49</v>
      </c>
      <c r="D29" s="47">
        <f>Assumptions!D23</f>
        <v>20000</v>
      </c>
      <c r="E29" s="118">
        <f>($D$29/(SUM($E$5:$H$5))*E5)</f>
        <v>7500</v>
      </c>
      <c r="F29" s="119">
        <f>($D$29/(SUM($E$5:$H$5))*F5)</f>
        <v>2500</v>
      </c>
      <c r="G29" s="119">
        <f>($D$29/(SUM($E$5:$H$5))*G5)</f>
        <v>3750</v>
      </c>
      <c r="H29" s="120">
        <f>($D$29/(SUM($E$5:$H$5))*H5)</f>
        <v>6250</v>
      </c>
    </row>
    <row r="30" spans="1:11">
      <c r="A30" s="55" t="s">
        <v>31</v>
      </c>
      <c r="B30" s="51" t="s">
        <v>2</v>
      </c>
      <c r="C30" s="45" t="s">
        <v>49</v>
      </c>
      <c r="D30" s="47">
        <f>Assumptions!D24</f>
        <v>15000</v>
      </c>
      <c r="E30" s="118">
        <f>($D$30/(SUM($E$5:$H$5))*E5)</f>
        <v>5625</v>
      </c>
      <c r="F30" s="119">
        <f>($D$30/(SUM($E$5:$H$5))*F5)</f>
        <v>1875</v>
      </c>
      <c r="G30" s="119">
        <f>($D$30/(SUM($E$5:$H$5))*G5)</f>
        <v>2812.5</v>
      </c>
      <c r="H30" s="120">
        <f>($D$30/(SUM($E$5:$H$5))*H5)</f>
        <v>4687.5</v>
      </c>
    </row>
    <row r="31" spans="1:11" ht="39">
      <c r="A31" s="55" t="s">
        <v>32</v>
      </c>
      <c r="B31" s="51" t="s">
        <v>2</v>
      </c>
      <c r="C31" s="45" t="s">
        <v>49</v>
      </c>
      <c r="D31" s="47">
        <f>Assumptions!D25</f>
        <v>30000</v>
      </c>
      <c r="E31" s="121">
        <f>($D$31/(SUM($E$12:$H$12))*E12)</f>
        <v>6818.1818181818189</v>
      </c>
      <c r="F31" s="122">
        <f>($D$31/(SUM($E$12:$H$12))*F12)</f>
        <v>8181.818181818182</v>
      </c>
      <c r="G31" s="122">
        <f>($D$31/(SUM($E$12:$H$12))*G12)</f>
        <v>8181.818181818182</v>
      </c>
      <c r="H31" s="123">
        <f>($D$31/(SUM($E$12:$H$12))*H12)</f>
        <v>6818.1818181818189</v>
      </c>
    </row>
    <row r="32" spans="1:11">
      <c r="A32" s="55" t="s">
        <v>33</v>
      </c>
      <c r="B32" s="51" t="s">
        <v>2</v>
      </c>
      <c r="C32" s="45" t="s">
        <v>50</v>
      </c>
      <c r="D32" s="47">
        <f>Assumptions!D26</f>
        <v>20000</v>
      </c>
      <c r="E32" s="121">
        <f>($D$32/(SUM($E$10:$H$10))*E10)</f>
        <v>6666.6666666666661</v>
      </c>
      <c r="F32" s="122">
        <f>($D$32/(SUM($E$10:$H$10))*F10)</f>
        <v>6666.6666666666661</v>
      </c>
      <c r="G32" s="122">
        <f>($D$32/(SUM($E$10:$H$10))*G10)</f>
        <v>3333.333333333333</v>
      </c>
      <c r="H32" s="123">
        <f>($D$32/(SUM($E$10:$H$10))*H10)</f>
        <v>3333.333333333333</v>
      </c>
    </row>
    <row r="33" spans="1:13">
      <c r="A33" s="55" t="s">
        <v>34</v>
      </c>
      <c r="B33" s="51" t="s">
        <v>2</v>
      </c>
      <c r="C33" s="45" t="s">
        <v>50</v>
      </c>
      <c r="D33" s="47">
        <f>Assumptions!D27</f>
        <v>2000</v>
      </c>
      <c r="E33" s="121">
        <f>($D$33/(SUM($E$20:$H$20))*E20)</f>
        <v>588.23529411764707</v>
      </c>
      <c r="F33" s="122">
        <f>($D$33/(SUM($E$20:$H$20))*F20)</f>
        <v>470.58823529411762</v>
      </c>
      <c r="G33" s="122">
        <f>($D$33/(SUM($E$20:$H$20))*G20)</f>
        <v>470.58823529411762</v>
      </c>
      <c r="H33" s="123">
        <f>($D$33/(SUM($E$20:$H$20))*H20)</f>
        <v>470.58823529411762</v>
      </c>
    </row>
    <row r="34" spans="1:13">
      <c r="A34" s="55" t="s">
        <v>42</v>
      </c>
      <c r="B34" s="51" t="s">
        <v>2</v>
      </c>
      <c r="C34" s="45" t="s">
        <v>49</v>
      </c>
      <c r="D34" s="47">
        <f>Assumptions!D28</f>
        <v>10000</v>
      </c>
      <c r="E34" s="121">
        <f>($D$34/(SUM($E$10:$H$10))*E10)</f>
        <v>3333.333333333333</v>
      </c>
      <c r="F34" s="122">
        <f>($D$34/(SUM($E$10:$H$10))*F10)</f>
        <v>3333.333333333333</v>
      </c>
      <c r="G34" s="122">
        <f>($D$34/(SUM($E$10:$H$10))*G10)</f>
        <v>1666.6666666666665</v>
      </c>
      <c r="H34" s="123">
        <f>($D$34/(SUM($E$10:$H$10))*H10)</f>
        <v>1666.6666666666665</v>
      </c>
    </row>
    <row r="35" spans="1:13">
      <c r="A35" s="55" t="s">
        <v>27</v>
      </c>
      <c r="B35" s="51" t="s">
        <v>2</v>
      </c>
      <c r="C35" s="45" t="s">
        <v>50</v>
      </c>
      <c r="D35" s="132">
        <f>E35</f>
        <v>687500</v>
      </c>
      <c r="E35" s="39">
        <f>E20*E18</f>
        <v>687500</v>
      </c>
      <c r="F35" s="14">
        <f>F20*E44</f>
        <v>756205.3852495543</v>
      </c>
      <c r="G35" s="13">
        <f>G20*F44</f>
        <v>800421.96617647063</v>
      </c>
      <c r="H35" s="35">
        <f>H20*G44</f>
        <v>841017.71377005358</v>
      </c>
    </row>
    <row r="36" spans="1:13">
      <c r="A36" s="55" t="s">
        <v>28</v>
      </c>
      <c r="B36" s="51" t="s">
        <v>2</v>
      </c>
      <c r="C36" s="45" t="s">
        <v>50</v>
      </c>
      <c r="D36" s="47">
        <f t="shared" ref="D36:D42" si="2">SUM(E36:H36)</f>
        <v>60000</v>
      </c>
      <c r="E36" s="39">
        <f>E13*E16*E17</f>
        <v>15000</v>
      </c>
      <c r="F36" s="13">
        <f t="shared" ref="F36:H36" si="3">F13*F16*F17</f>
        <v>15000</v>
      </c>
      <c r="G36" s="13">
        <f t="shared" si="3"/>
        <v>15000</v>
      </c>
      <c r="H36" s="36">
        <f t="shared" si="3"/>
        <v>15000</v>
      </c>
    </row>
    <row r="37" spans="1:13" ht="26.25">
      <c r="A37" s="55" t="s">
        <v>47</v>
      </c>
      <c r="B37" s="51" t="s">
        <v>2</v>
      </c>
      <c r="C37" s="45" t="s">
        <v>50</v>
      </c>
      <c r="D37" s="47">
        <f t="shared" si="2"/>
        <v>10000</v>
      </c>
      <c r="E37" s="39">
        <f>E21*E22</f>
        <v>10000</v>
      </c>
      <c r="F37" s="13"/>
      <c r="G37" s="13"/>
      <c r="H37" s="36"/>
    </row>
    <row r="38" spans="1:13">
      <c r="A38" s="55" t="s">
        <v>44</v>
      </c>
      <c r="B38" s="51" t="s">
        <v>2</v>
      </c>
      <c r="C38" s="45" t="s">
        <v>50</v>
      </c>
      <c r="D38" s="47">
        <f t="shared" si="2"/>
        <v>5100</v>
      </c>
      <c r="E38" s="39">
        <f>(E26/E28)*2</f>
        <v>500</v>
      </c>
      <c r="F38" s="13">
        <f>(F26/F28)*2</f>
        <v>600</v>
      </c>
      <c r="G38" s="13"/>
      <c r="H38" s="36">
        <f>(H23/H28)*2</f>
        <v>4000</v>
      </c>
    </row>
    <row r="39" spans="1:13">
      <c r="A39" s="55" t="s">
        <v>20</v>
      </c>
      <c r="B39" s="51" t="s">
        <v>2</v>
      </c>
      <c r="C39" s="45" t="s">
        <v>49</v>
      </c>
      <c r="D39" s="131">
        <f t="shared" si="2"/>
        <v>15833.333333333334</v>
      </c>
      <c r="E39" s="40">
        <f>(E6-E7)/(E8*12)</f>
        <v>7916.666666666667</v>
      </c>
      <c r="F39" s="14">
        <f t="shared" ref="F39:H39" si="4">(F6-F7)/(F8*12)</f>
        <v>1583.3333333333333</v>
      </c>
      <c r="G39" s="14">
        <f t="shared" si="4"/>
        <v>2375</v>
      </c>
      <c r="H39" s="35">
        <f t="shared" si="4"/>
        <v>3958.3333333333335</v>
      </c>
      <c r="J39" s="9"/>
      <c r="K39" s="9"/>
      <c r="L39" s="9"/>
      <c r="M39" s="9"/>
    </row>
    <row r="40" spans="1:13">
      <c r="A40" s="153" t="s">
        <v>104</v>
      </c>
      <c r="B40" s="154" t="s">
        <v>2</v>
      </c>
      <c r="C40" s="155" t="s">
        <v>49</v>
      </c>
      <c r="D40" s="156">
        <f>C52</f>
        <v>10500</v>
      </c>
      <c r="E40" s="157">
        <f>($D$40/(SUM($E$20:$H$20))*E20)</f>
        <v>3088.2352941176473</v>
      </c>
      <c r="F40" s="158">
        <f t="shared" ref="F40:H40" si="5">($D$40/(SUM($E$20:$H$20))*F20)</f>
        <v>2470.5882352941176</v>
      </c>
      <c r="G40" s="158">
        <f t="shared" si="5"/>
        <v>2470.5882352941176</v>
      </c>
      <c r="H40" s="159">
        <f t="shared" si="5"/>
        <v>2470.5882352941176</v>
      </c>
      <c r="J40" s="9"/>
      <c r="K40" s="9"/>
      <c r="L40" s="9"/>
      <c r="M40" s="9"/>
    </row>
    <row r="41" spans="1:13" ht="26.25">
      <c r="A41" s="153" t="s">
        <v>103</v>
      </c>
      <c r="B41" s="154" t="s">
        <v>2</v>
      </c>
      <c r="C41" s="155" t="s">
        <v>50</v>
      </c>
      <c r="D41" s="156">
        <f>C56</f>
        <v>2274.8249999999998</v>
      </c>
      <c r="E41" s="157">
        <f>($D$41/(SUM($E$20:$H$20))*E20)</f>
        <v>669.06617647058818</v>
      </c>
      <c r="F41" s="158">
        <f t="shared" ref="F41:H41" si="6">($D$41/(SUM($E$20:$H$20))*F20)</f>
        <v>535.25294117647047</v>
      </c>
      <c r="G41" s="158">
        <f t="shared" si="6"/>
        <v>535.25294117647047</v>
      </c>
      <c r="H41" s="159">
        <f t="shared" si="6"/>
        <v>535.25294117647047</v>
      </c>
      <c r="J41" s="9"/>
      <c r="K41" s="9"/>
      <c r="L41" s="9"/>
      <c r="M41" s="9"/>
    </row>
    <row r="42" spans="1:13" ht="15.75" thickBot="1">
      <c r="A42" s="56" t="s">
        <v>45</v>
      </c>
      <c r="B42" s="52" t="s">
        <v>2</v>
      </c>
      <c r="C42" s="49" t="s">
        <v>49</v>
      </c>
      <c r="D42" s="48">
        <f t="shared" si="2"/>
        <v>7000</v>
      </c>
      <c r="E42" s="108">
        <f>Assumptions!E29</f>
        <v>1000</v>
      </c>
      <c r="F42" s="109">
        <f>Assumptions!F29</f>
        <v>1000</v>
      </c>
      <c r="G42" s="109">
        <f>Assumptions!G29</f>
        <v>0</v>
      </c>
      <c r="H42" s="110">
        <f>Assumptions!H29</f>
        <v>5000</v>
      </c>
    </row>
    <row r="43" spans="1:13">
      <c r="A43" s="57" t="s">
        <v>52</v>
      </c>
      <c r="B43" s="53" t="s">
        <v>2</v>
      </c>
      <c r="C43" s="15"/>
      <c r="D43" s="24"/>
      <c r="E43" s="41">
        <f>SUM(E29:E42)</f>
        <v>756205.3852495543</v>
      </c>
      <c r="F43" s="16">
        <f>SUM(F29:F42)</f>
        <v>800421.96617647063</v>
      </c>
      <c r="G43" s="16">
        <f>SUM(G29:G42)</f>
        <v>841017.71377005358</v>
      </c>
      <c r="H43" s="17">
        <f>SUM(H29:H42)</f>
        <v>895208.15833333356</v>
      </c>
    </row>
    <row r="44" spans="1:13" ht="15.75" thickBot="1">
      <c r="A44" s="58" t="s">
        <v>53</v>
      </c>
      <c r="B44" s="54" t="s">
        <v>2</v>
      </c>
      <c r="C44" s="19"/>
      <c r="D44" s="43"/>
      <c r="E44" s="42">
        <f>E43/E23</f>
        <v>75.620538524955435</v>
      </c>
      <c r="F44" s="20">
        <f>F43/F23</f>
        <v>80.042196617647065</v>
      </c>
      <c r="G44" s="20">
        <f>G43/G23</f>
        <v>84.101771377005363</v>
      </c>
      <c r="H44" s="21">
        <f>H43/H23</f>
        <v>89.520815833333359</v>
      </c>
    </row>
    <row r="47" spans="1:13" ht="15.75" thickBot="1"/>
    <row r="48" spans="1:13" ht="15.75" thickBot="1">
      <c r="A48" s="170" t="s">
        <v>105</v>
      </c>
      <c r="B48" s="171">
        <f>SUM(Assumptions!C35:C39)</f>
        <v>6000000</v>
      </c>
      <c r="E48" s="9"/>
      <c r="H48" s="9"/>
    </row>
    <row r="49" spans="1:4">
      <c r="A49" s="187" t="s">
        <v>101</v>
      </c>
      <c r="B49" s="188"/>
      <c r="C49" s="189"/>
      <c r="D49" s="136"/>
    </row>
    <row r="50" spans="1:4">
      <c r="A50" s="148" t="s">
        <v>0</v>
      </c>
      <c r="B50" s="137" t="s">
        <v>94</v>
      </c>
      <c r="C50" s="149" t="s">
        <v>95</v>
      </c>
      <c r="D50" s="134"/>
    </row>
    <row r="51" spans="1:4">
      <c r="A51" s="141" t="s">
        <v>92</v>
      </c>
      <c r="B51" s="145">
        <f>B48*Assumptions!F35</f>
        <v>3900000</v>
      </c>
      <c r="C51" s="7"/>
      <c r="D51" s="135"/>
    </row>
    <row r="52" spans="1:4">
      <c r="A52" s="111" t="s">
        <v>93</v>
      </c>
      <c r="B52" s="146">
        <f>B48*Assumptions!F36</f>
        <v>2100000</v>
      </c>
      <c r="C52" s="4">
        <f>(B52*Assumptions!F37)/12</f>
        <v>10500</v>
      </c>
      <c r="D52" s="144"/>
    </row>
    <row r="53" spans="1:4">
      <c r="A53" s="190" t="s">
        <v>102</v>
      </c>
      <c r="B53" s="191"/>
      <c r="C53" s="192"/>
    </row>
    <row r="54" spans="1:4">
      <c r="A54" s="148" t="s">
        <v>0</v>
      </c>
      <c r="B54" s="137" t="s">
        <v>94</v>
      </c>
      <c r="C54" s="149" t="s">
        <v>95</v>
      </c>
      <c r="D54" s="134"/>
    </row>
    <row r="55" spans="1:4">
      <c r="A55" s="141" t="s">
        <v>96</v>
      </c>
      <c r="B55" s="147">
        <f>(SUM($D$29:$D$38,$D$42))*Assumptions!F39</f>
        <v>563290</v>
      </c>
      <c r="C55" s="150"/>
      <c r="D55" s="135"/>
    </row>
    <row r="56" spans="1:4" ht="30.75" thickBot="1">
      <c r="A56" s="151" t="s">
        <v>97</v>
      </c>
      <c r="B56" s="160">
        <f>(SUM($D$29:$D$38,$D$42))*Assumptions!F40</f>
        <v>303310</v>
      </c>
      <c r="C56" s="152">
        <f>(B56*Assumptions!F41)/12</f>
        <v>2274.8249999999998</v>
      </c>
      <c r="D56" s="144"/>
    </row>
    <row r="57" spans="1:4">
      <c r="B57" s="138"/>
      <c r="C57" s="135"/>
      <c r="D57" s="135"/>
    </row>
  </sheetData>
  <sheetProtection algorithmName="SHA-512" hashValue="i18IaqBRNPz13QXcLvfnC6ttPYYVpLBVqJ4uJgHW5DdWYSNgjJOs6cYSlDbceJiQrEbn5HT+OPP78LvD8414bg==" saltValue="ftb6zW2+cOho4SbvVg80FQ==" spinCount="100000" sheet="1" objects="1" scenarios="1"/>
  <mergeCells count="3">
    <mergeCell ref="A3:H3"/>
    <mergeCell ref="A49:C49"/>
    <mergeCell ref="A53:C5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AB066-16AC-4BD7-9359-6DBF84963D41}">
  <dimension ref="A1:C26"/>
  <sheetViews>
    <sheetView topLeftCell="A9" workbookViewId="0">
      <selection activeCell="E22" sqref="E22"/>
    </sheetView>
  </sheetViews>
  <sheetFormatPr defaultRowHeight="15"/>
  <cols>
    <col min="1" max="1" width="29.42578125" customWidth="1"/>
    <col min="2" max="2" width="24.140625" customWidth="1"/>
    <col min="3" max="3" width="18.140625" customWidth="1"/>
    <col min="4" max="4" width="14.7109375" customWidth="1"/>
    <col min="5" max="5" width="16.85546875" customWidth="1"/>
    <col min="6" max="6" width="16.28515625" customWidth="1"/>
  </cols>
  <sheetData>
    <row r="1" spans="1:3" ht="15.75" thickBot="1"/>
    <row r="2" spans="1:3" ht="15.75" thickBot="1">
      <c r="A2" s="184" t="s">
        <v>90</v>
      </c>
      <c r="B2" s="185"/>
      <c r="C2" s="186"/>
    </row>
    <row r="3" spans="1:3" ht="15.75" thickBot="1">
      <c r="A3" s="127" t="s">
        <v>0</v>
      </c>
      <c r="B3" s="128" t="s">
        <v>48</v>
      </c>
      <c r="C3" s="129" t="s">
        <v>54</v>
      </c>
    </row>
    <row r="4" spans="1:3">
      <c r="A4" s="124" t="s">
        <v>30</v>
      </c>
      <c r="B4" s="125" t="s">
        <v>49</v>
      </c>
      <c r="C4" s="126">
        <f>'Product Cost'!D29</f>
        <v>20000</v>
      </c>
    </row>
    <row r="5" spans="1:3">
      <c r="A5" s="5" t="s">
        <v>31</v>
      </c>
      <c r="B5" s="10" t="s">
        <v>49</v>
      </c>
      <c r="C5" s="7">
        <f>'Product Cost'!D30</f>
        <v>15000</v>
      </c>
    </row>
    <row r="6" spans="1:3" ht="39">
      <c r="A6" s="5" t="s">
        <v>32</v>
      </c>
      <c r="B6" s="10" t="s">
        <v>49</v>
      </c>
      <c r="C6" s="7">
        <f>'Product Cost'!D31</f>
        <v>30000</v>
      </c>
    </row>
    <row r="7" spans="1:3">
      <c r="A7" s="5" t="s">
        <v>33</v>
      </c>
      <c r="B7" s="10" t="s">
        <v>50</v>
      </c>
      <c r="C7" s="7">
        <f>'Product Cost'!D32</f>
        <v>20000</v>
      </c>
    </row>
    <row r="8" spans="1:3">
      <c r="A8" s="5" t="s">
        <v>34</v>
      </c>
      <c r="B8" s="10" t="s">
        <v>50</v>
      </c>
      <c r="C8" s="7">
        <f>'Product Cost'!D33</f>
        <v>2000</v>
      </c>
    </row>
    <row r="9" spans="1:3">
      <c r="A9" s="5" t="s">
        <v>42</v>
      </c>
      <c r="B9" s="10" t="s">
        <v>49</v>
      </c>
      <c r="C9" s="7">
        <f>'Product Cost'!D34</f>
        <v>10000</v>
      </c>
    </row>
    <row r="10" spans="1:3">
      <c r="A10" s="5" t="s">
        <v>27</v>
      </c>
      <c r="B10" s="10" t="s">
        <v>50</v>
      </c>
      <c r="C10" s="22">
        <f>'Product Cost'!D35</f>
        <v>687500</v>
      </c>
    </row>
    <row r="11" spans="1:3">
      <c r="A11" s="5" t="s">
        <v>28</v>
      </c>
      <c r="B11" s="10" t="s">
        <v>50</v>
      </c>
      <c r="C11" s="22">
        <f>'Product Cost'!D36</f>
        <v>60000</v>
      </c>
    </row>
    <row r="12" spans="1:3" ht="26.25">
      <c r="A12" s="5" t="s">
        <v>47</v>
      </c>
      <c r="B12" s="10" t="s">
        <v>50</v>
      </c>
      <c r="C12" s="22">
        <f>'Product Cost'!D37</f>
        <v>10000</v>
      </c>
    </row>
    <row r="13" spans="1:3">
      <c r="A13" s="5" t="s">
        <v>44</v>
      </c>
      <c r="B13" s="10" t="s">
        <v>50</v>
      </c>
      <c r="C13" s="22">
        <f>'Product Cost'!D38</f>
        <v>5100</v>
      </c>
    </row>
    <row r="14" spans="1:3">
      <c r="A14" s="5" t="s">
        <v>20</v>
      </c>
      <c r="B14" s="10" t="s">
        <v>49</v>
      </c>
      <c r="C14" s="22">
        <f>'Product Cost'!D39</f>
        <v>15833.333333333334</v>
      </c>
    </row>
    <row r="15" spans="1:3">
      <c r="A15" s="161" t="s">
        <v>104</v>
      </c>
      <c r="B15" s="162" t="s">
        <v>49</v>
      </c>
      <c r="C15" s="22">
        <f>'Product Cost'!D40</f>
        <v>10500</v>
      </c>
    </row>
    <row r="16" spans="1:3" ht="26.25">
      <c r="A16" s="161" t="s">
        <v>103</v>
      </c>
      <c r="B16" s="162" t="s">
        <v>50</v>
      </c>
      <c r="C16" s="22">
        <f>'Product Cost'!D41</f>
        <v>2274.8249999999998</v>
      </c>
    </row>
    <row r="17" spans="1:3" ht="15.75" thickBot="1">
      <c r="A17" s="6" t="s">
        <v>45</v>
      </c>
      <c r="B17" s="28" t="s">
        <v>49</v>
      </c>
      <c r="C17" s="174">
        <f>'Product Cost'!D42</f>
        <v>7000</v>
      </c>
    </row>
    <row r="18" spans="1:3" ht="15.75" thickBot="1">
      <c r="A18" s="27"/>
      <c r="B18" s="8"/>
      <c r="C18" s="8"/>
    </row>
    <row r="19" spans="1:3" ht="15.75" thickBot="1">
      <c r="A19" s="127" t="s">
        <v>0</v>
      </c>
      <c r="B19" s="128" t="s">
        <v>1</v>
      </c>
      <c r="C19" s="129" t="s">
        <v>35</v>
      </c>
    </row>
    <row r="20" spans="1:3">
      <c r="A20" s="29" t="s">
        <v>56</v>
      </c>
      <c r="B20" s="30" t="s">
        <v>2</v>
      </c>
      <c r="C20" s="31">
        <f>SUMIF(B4:B17,"Fixed",C4:C17)</f>
        <v>108333.33333333333</v>
      </c>
    </row>
    <row r="21" spans="1:3">
      <c r="A21" s="23" t="s">
        <v>57</v>
      </c>
      <c r="B21" s="30" t="s">
        <v>2</v>
      </c>
      <c r="C21" s="32">
        <f>SUMIF(B4:B17,"Variable",C4:C17)</f>
        <v>786874.82499999995</v>
      </c>
    </row>
    <row r="22" spans="1:3">
      <c r="A22" s="23" t="s">
        <v>55</v>
      </c>
      <c r="B22" s="25" t="s">
        <v>16</v>
      </c>
      <c r="C22" s="26">
        <f>'Product Cost'!H23</f>
        <v>10000</v>
      </c>
    </row>
    <row r="23" spans="1:3">
      <c r="A23" s="23" t="s">
        <v>58</v>
      </c>
      <c r="B23" s="25" t="s">
        <v>62</v>
      </c>
      <c r="C23" s="32">
        <f>C21/C22</f>
        <v>78.687482500000002</v>
      </c>
    </row>
    <row r="24" spans="1:3">
      <c r="A24" s="23" t="s">
        <v>59</v>
      </c>
      <c r="B24" s="25" t="s">
        <v>62</v>
      </c>
      <c r="C24" s="26">
        <f>Assumptions!D30</f>
        <v>120</v>
      </c>
    </row>
    <row r="25" spans="1:3">
      <c r="A25" s="23" t="s">
        <v>60</v>
      </c>
      <c r="B25" s="25" t="s">
        <v>62</v>
      </c>
      <c r="C25" s="32">
        <f>C24-C23</f>
        <v>41.312517499999998</v>
      </c>
    </row>
    <row r="26" spans="1:3" ht="15.75" thickBot="1">
      <c r="A26" s="18" t="s">
        <v>61</v>
      </c>
      <c r="B26" s="19" t="s">
        <v>16</v>
      </c>
      <c r="C26" s="21">
        <f>C20/C25</f>
        <v>2622.2883496105833</v>
      </c>
    </row>
  </sheetData>
  <sheetProtection algorithmName="SHA-512" hashValue="65xEC4sNBR9uVFeNQ8GM6w5Ml/v2SDhTOWrAYwluE8YE/gq8raMK1QGnyE2nSViHdfwCO+TpY5d0MAXNgHa5Gw==" saltValue="EjBpFaHizIqZOsdaH/64Cw==" spinCount="100000" sheet="1" objects="1" scenarios="1"/>
  <mergeCells count="1">
    <mergeCell ref="A2:C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FB3F2-1AA4-486C-BC36-EE5F8159CA4E}">
  <dimension ref="A3:H19"/>
  <sheetViews>
    <sheetView workbookViewId="0">
      <selection activeCell="C8" sqref="C8"/>
    </sheetView>
  </sheetViews>
  <sheetFormatPr defaultRowHeight="15"/>
  <cols>
    <col min="1" max="1" width="35.28515625" customWidth="1"/>
    <col min="2" max="2" width="16.42578125" customWidth="1"/>
    <col min="3" max="3" width="14.85546875" customWidth="1"/>
    <col min="4" max="4" width="18.42578125" customWidth="1"/>
    <col min="5" max="5" width="18" customWidth="1"/>
    <col min="6" max="6" width="15.5703125" customWidth="1"/>
    <col min="7" max="7" width="14.28515625" customWidth="1"/>
    <col min="8" max="8" width="14.42578125" customWidth="1"/>
  </cols>
  <sheetData>
    <row r="3" spans="1:8" ht="15.75" thickBot="1"/>
    <row r="4" spans="1:8" ht="15.75" thickBot="1">
      <c r="A4" s="193" t="s">
        <v>63</v>
      </c>
      <c r="B4" s="194"/>
      <c r="C4" s="194"/>
      <c r="D4" s="194"/>
      <c r="E4" s="194"/>
      <c r="F4" s="194"/>
      <c r="G4" s="194"/>
      <c r="H4" s="195"/>
    </row>
    <row r="5" spans="1:8">
      <c r="A5" s="67" t="s">
        <v>0</v>
      </c>
      <c r="B5" s="75" t="s">
        <v>81</v>
      </c>
      <c r="C5" s="75" t="s">
        <v>64</v>
      </c>
      <c r="D5" s="75" t="s">
        <v>65</v>
      </c>
      <c r="E5" s="75" t="s">
        <v>66</v>
      </c>
      <c r="F5" s="75" t="s">
        <v>67</v>
      </c>
      <c r="G5" s="75" t="s">
        <v>68</v>
      </c>
      <c r="H5" s="76" t="s">
        <v>82</v>
      </c>
    </row>
    <row r="6" spans="1:8">
      <c r="A6" s="68" t="s">
        <v>70</v>
      </c>
      <c r="B6" s="73"/>
      <c r="C6" s="74">
        <v>0.4</v>
      </c>
      <c r="D6" s="74">
        <v>0.5</v>
      </c>
      <c r="E6" s="74">
        <v>0.75</v>
      </c>
      <c r="F6" s="74">
        <v>0.75</v>
      </c>
      <c r="G6" s="74">
        <v>0.75</v>
      </c>
      <c r="H6" s="77">
        <v>0.8</v>
      </c>
    </row>
    <row r="7" spans="1:8">
      <c r="A7" s="68" t="s">
        <v>108</v>
      </c>
      <c r="B7" s="73"/>
      <c r="C7" s="69">
        <f>('Product Cost'!$H$14*'Profitability Analysis'!C6)*12</f>
        <v>120000</v>
      </c>
      <c r="D7" s="69">
        <f>('Product Cost'!$H$14*'Profitability Analysis'!D6)*12</f>
        <v>150000</v>
      </c>
      <c r="E7" s="69">
        <f>('Product Cost'!$H$14*'Profitability Analysis'!E6)*12</f>
        <v>225000</v>
      </c>
      <c r="F7" s="69">
        <f>('Product Cost'!$H$14*'Profitability Analysis'!F6)*12</f>
        <v>225000</v>
      </c>
      <c r="G7" s="69">
        <f>('Product Cost'!$H$14*'Profitability Analysis'!G6)*12</f>
        <v>225000</v>
      </c>
      <c r="H7" s="70">
        <f>('Product Cost'!$H$14*'Profitability Analysis'!H6)*12</f>
        <v>240000</v>
      </c>
    </row>
    <row r="8" spans="1:8">
      <c r="A8" s="68" t="s">
        <v>109</v>
      </c>
      <c r="B8" s="73"/>
      <c r="C8" s="69">
        <f>C7*('Product Cost'!$E$26/'Product Cost'!$H$23)</f>
        <v>15000</v>
      </c>
      <c r="D8" s="69">
        <f>D7*('Product Cost'!$E$26/'Product Cost'!$H$23)</f>
        <v>18750</v>
      </c>
      <c r="E8" s="69">
        <f>E7*('Product Cost'!$E$26/'Product Cost'!$H$23)</f>
        <v>28125</v>
      </c>
      <c r="F8" s="69">
        <f>F7*('Product Cost'!$E$26/'Product Cost'!$H$23)</f>
        <v>28125</v>
      </c>
      <c r="G8" s="69">
        <f>G7*('Product Cost'!$E$26/'Product Cost'!$H$23)</f>
        <v>28125</v>
      </c>
      <c r="H8" s="70">
        <f>H7*('Product Cost'!$E$26/'Product Cost'!$H$23)</f>
        <v>30000</v>
      </c>
    </row>
    <row r="9" spans="1:8">
      <c r="A9" s="68" t="s">
        <v>110</v>
      </c>
      <c r="B9" s="73"/>
      <c r="C9" s="69">
        <f>C7*('Product Cost'!$F$26/'Product Cost'!$H$23)</f>
        <v>18000</v>
      </c>
      <c r="D9" s="69">
        <f>D7*('Product Cost'!$F$26/'Product Cost'!$H$23)</f>
        <v>22500</v>
      </c>
      <c r="E9" s="69">
        <f>E7*('Product Cost'!$F$26/'Product Cost'!$H$23)</f>
        <v>33750</v>
      </c>
      <c r="F9" s="69">
        <f>F7*('Product Cost'!$F$26/'Product Cost'!$H$23)</f>
        <v>33750</v>
      </c>
      <c r="G9" s="69">
        <f>G7*('Product Cost'!$F$26/'Product Cost'!$H$23)</f>
        <v>33750</v>
      </c>
      <c r="H9" s="70">
        <f>H7*('Product Cost'!$F$26/'Product Cost'!$H$23)</f>
        <v>36000</v>
      </c>
    </row>
    <row r="10" spans="1:8">
      <c r="A10" s="68" t="s">
        <v>111</v>
      </c>
      <c r="B10" s="163"/>
      <c r="C10" s="164">
        <f>C7*'Break Even Analysis'!$C$24</f>
        <v>14400000</v>
      </c>
      <c r="D10" s="164">
        <f>D7*'Break Even Analysis'!$C$24</f>
        <v>18000000</v>
      </c>
      <c r="E10" s="164">
        <f>E7*'Break Even Analysis'!$C$24</f>
        <v>27000000</v>
      </c>
      <c r="F10" s="164">
        <f>F7*'Break Even Analysis'!$C$24</f>
        <v>27000000</v>
      </c>
      <c r="G10" s="164">
        <f>G7*'Break Even Analysis'!$C$24</f>
        <v>27000000</v>
      </c>
      <c r="H10" s="165">
        <f>H7*'Break Even Analysis'!$C$24</f>
        <v>28800000</v>
      </c>
    </row>
    <row r="11" spans="1:8">
      <c r="A11" s="68" t="s">
        <v>112</v>
      </c>
      <c r="B11" s="163"/>
      <c r="C11" s="164">
        <f>(C8*Assumptions!$E$17)+(C9*Assumptions!$F$17)</f>
        <v>255000</v>
      </c>
      <c r="D11" s="164">
        <f>(D8*Assumptions!$E$17)+(D9*Assumptions!$F$17)</f>
        <v>318750</v>
      </c>
      <c r="E11" s="164">
        <f>(E8*Assumptions!$E$17)+(E9*Assumptions!$F$17)</f>
        <v>478125</v>
      </c>
      <c r="F11" s="164">
        <f>(F8*Assumptions!$E$17)+(F9*Assumptions!$F$17)</f>
        <v>478125</v>
      </c>
      <c r="G11" s="164">
        <f>(G8*Assumptions!$E$17)+(G9*Assumptions!$F$17)</f>
        <v>478125</v>
      </c>
      <c r="H11" s="165">
        <f>(H8*Assumptions!$E$17)+(H9*Assumptions!$F$17)</f>
        <v>510000</v>
      </c>
    </row>
    <row r="12" spans="1:8">
      <c r="A12" s="68" t="s">
        <v>71</v>
      </c>
      <c r="B12" s="163"/>
      <c r="C12" s="164">
        <f>C7*'Break Even Analysis'!$C$23</f>
        <v>9442497.9000000004</v>
      </c>
      <c r="D12" s="164">
        <f>D7*'Break Even Analysis'!$C$23</f>
        <v>11803122.375</v>
      </c>
      <c r="E12" s="164">
        <f>E7*'Break Even Analysis'!$C$23</f>
        <v>17704683.5625</v>
      </c>
      <c r="F12" s="164">
        <f>F7*'Break Even Analysis'!$C$23</f>
        <v>17704683.5625</v>
      </c>
      <c r="G12" s="164">
        <f>G7*'Break Even Analysis'!$C$23</f>
        <v>17704683.5625</v>
      </c>
      <c r="H12" s="165">
        <f>H7*'Break Even Analysis'!$C$23</f>
        <v>18884995.800000001</v>
      </c>
    </row>
    <row r="13" spans="1:8">
      <c r="A13" s="71" t="s">
        <v>72</v>
      </c>
      <c r="B13" s="166"/>
      <c r="C13" s="166">
        <f>(C10+C11)-C12</f>
        <v>5212502.0999999996</v>
      </c>
      <c r="D13" s="166">
        <f t="shared" ref="D13:H13" si="0">(D10+D11)-D12</f>
        <v>6515627.625</v>
      </c>
      <c r="E13" s="166">
        <f t="shared" si="0"/>
        <v>9773441.4375</v>
      </c>
      <c r="F13" s="166">
        <f t="shared" si="0"/>
        <v>9773441.4375</v>
      </c>
      <c r="G13" s="166">
        <f t="shared" si="0"/>
        <v>9773441.4375</v>
      </c>
      <c r="H13" s="167">
        <f t="shared" si="0"/>
        <v>10425004.199999999</v>
      </c>
    </row>
    <row r="14" spans="1:8">
      <c r="A14" s="68" t="s">
        <v>73</v>
      </c>
      <c r="B14" s="163"/>
      <c r="C14" s="164">
        <f>('Break Even Analysis'!$C$20-'Break Even Analysis'!$C$14)*12</f>
        <v>1110000</v>
      </c>
      <c r="D14" s="164">
        <f>('Break Even Analysis'!$C$20-'Break Even Analysis'!$C$14)*12</f>
        <v>1110000</v>
      </c>
      <c r="E14" s="164">
        <f>('Break Even Analysis'!$C$20-'Break Even Analysis'!$C$14)*12</f>
        <v>1110000</v>
      </c>
      <c r="F14" s="164">
        <f>('Break Even Analysis'!$C$20-'Break Even Analysis'!$C$14)*12</f>
        <v>1110000</v>
      </c>
      <c r="G14" s="164">
        <f>('Break Even Analysis'!$C$20-'Break Even Analysis'!$C$14)*12</f>
        <v>1110000</v>
      </c>
      <c r="H14" s="165">
        <f>('Break Even Analysis'!$C$20-'Break Even Analysis'!$C$14)*12</f>
        <v>1110000</v>
      </c>
    </row>
    <row r="15" spans="1:8">
      <c r="A15" s="68" t="s">
        <v>74</v>
      </c>
      <c r="B15" s="163"/>
      <c r="C15" s="164">
        <f>'Break Even Analysis'!$C$14*12</f>
        <v>190000</v>
      </c>
      <c r="D15" s="164">
        <f>'Break Even Analysis'!$C$14*12</f>
        <v>190000</v>
      </c>
      <c r="E15" s="164">
        <f>'Break Even Analysis'!$C$14*12</f>
        <v>190000</v>
      </c>
      <c r="F15" s="164">
        <f>'Break Even Analysis'!$C$14*12</f>
        <v>190000</v>
      </c>
      <c r="G15" s="164">
        <f>'Break Even Analysis'!$C$14*12</f>
        <v>190000</v>
      </c>
      <c r="H15" s="165">
        <f>'Break Even Analysis'!$C$14*12</f>
        <v>190000</v>
      </c>
    </row>
    <row r="16" spans="1:8" ht="15.75" thickBot="1">
      <c r="A16" s="72" t="s">
        <v>85</v>
      </c>
      <c r="B16" s="168">
        <f>-'Product Cost'!B48</f>
        <v>-6000000</v>
      </c>
      <c r="C16" s="168">
        <f>C13-C14</f>
        <v>4102502.0999999996</v>
      </c>
      <c r="D16" s="168">
        <f t="shared" ref="D16:H16" si="1">D13-D14</f>
        <v>5405627.625</v>
      </c>
      <c r="E16" s="168">
        <f t="shared" si="1"/>
        <v>8663441.4375</v>
      </c>
      <c r="F16" s="168">
        <f t="shared" si="1"/>
        <v>8663441.4375</v>
      </c>
      <c r="G16" s="168">
        <f t="shared" si="1"/>
        <v>8663441.4375</v>
      </c>
      <c r="H16" s="169">
        <f t="shared" si="1"/>
        <v>9315004.1999999993</v>
      </c>
    </row>
    <row r="17" spans="1:2" ht="15.75" thickBot="1"/>
    <row r="18" spans="1:2" ht="15.75" thickBot="1">
      <c r="A18" s="80" t="s">
        <v>83</v>
      </c>
      <c r="B18" s="79">
        <f>IRR(B16:H16,1)</f>
        <v>0.91762980073934219</v>
      </c>
    </row>
    <row r="19" spans="1:2">
      <c r="B19" s="78"/>
    </row>
  </sheetData>
  <sheetProtection algorithmName="SHA-512" hashValue="LWvWn7/LpWKIwQLw0rpHRT2DtS/HlLQxlOWz8y1qySs5v1J+a3eMM206Zes4qKLcZ069FMONxbAve1v4+UlFSg==" saltValue="G3Fftgh7wES77ysGzrXZZw==" spinCount="100000" sheet="1" objects="1" scenarios="1"/>
  <mergeCells count="1">
    <mergeCell ref="A4:H4"/>
  </mergeCells>
  <phoneticPr fontId="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Assumptions</vt:lpstr>
      <vt:lpstr>Product Cost</vt:lpstr>
      <vt:lpstr>Break Even Analysis</vt:lpstr>
      <vt:lpstr>Profitability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Brundavanam, Pavan</dc:creator>
  <cp:lastModifiedBy>Brundavanam, Pavan</cp:lastModifiedBy>
  <dcterms:created xsi:type="dcterms:W3CDTF">2022-02-16T02:37:43Z</dcterms:created>
  <dcterms:modified xsi:type="dcterms:W3CDTF">2022-03-28T05:07:28Z</dcterms:modified>
</cp:coreProperties>
</file>