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genpactonline-my.sharepoint.com/personal/850045391_genpact_com/Documents/Desktop/Toolkit/Module wise templates and frameworks/Module 7- Revenue streams of FPOs/"/>
    </mc:Choice>
  </mc:AlternateContent>
  <xr:revisionPtr revIDLastSave="1" documentId="8_{F0CB8EF2-48AA-4984-923A-E1871A7E5F3F}" xr6:coauthVersionLast="47" xr6:coauthVersionMax="47" xr10:uidLastSave="{0D38B501-4FB7-44F5-98E6-FF2A4120B0A7}"/>
  <bookViews>
    <workbookView xWindow="-120" yWindow="-120" windowWidth="20730" windowHeight="11040" firstSheet="7" activeTab="7" xr2:uid="{00000000-000D-0000-FFFF-FFFF00000000}"/>
  </bookViews>
  <sheets>
    <sheet name="KPIs" sheetId="9" state="hidden" r:id="rId1"/>
    <sheet name="Dashboard" sheetId="12" state="hidden" r:id="rId2"/>
    <sheet name="Sheet7" sheetId="11" state="hidden" r:id="rId3"/>
    <sheet name="Sheet6" sheetId="10" state="hidden" r:id="rId4"/>
    <sheet name="Sheet1 (2)" sheetId="7" state="hidden" r:id="rId5"/>
    <sheet name="Sheet1" sheetId="5" state="hidden" r:id="rId6"/>
    <sheet name="Actual sold -input" sheetId="6" state="hidden" r:id="rId7"/>
    <sheet name="DASHBOARD_variation analysis" sheetId="13" r:id="rId8"/>
    <sheet name="Fertilizer &amp; Pesticide demand" sheetId="3" state="hidden" r:id="rId9"/>
    <sheet name="Farmer Demand" sheetId="1" r:id="rId10"/>
    <sheet name="Input selling form" sheetId="4" r:id="rId11"/>
    <sheet name="Backup sheet" sheetId="2" state="hidden" r:id="rId12"/>
  </sheets>
  <definedNames>
    <definedName name="_xlnm._FilterDatabase" localSheetId="9" hidden="1">'Farmer Demand'!$A$2:$BL$102</definedName>
    <definedName name="_xlnm._FilterDatabase" localSheetId="10" hidden="1">'Input selling form'!$A$2:$BF$87</definedName>
  </definedNames>
  <calcPr calcId="191028"/>
  <pivotCaches>
    <pivotCache cacheId="5" r:id="rId13"/>
    <pivotCache cacheId="6" r:id="rId14"/>
    <pivotCache cacheId="7" r:id="rId1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6" i="13" l="1"/>
  <c r="N16" i="13"/>
  <c r="M16" i="13"/>
  <c r="L16" i="13"/>
  <c r="K16" i="13"/>
  <c r="O15" i="13"/>
  <c r="N15" i="13"/>
  <c r="M15" i="13"/>
  <c r="L15" i="13"/>
  <c r="K15" i="13"/>
  <c r="O14" i="13"/>
  <c r="N14" i="13"/>
  <c r="M14" i="13"/>
  <c r="L14" i="13"/>
  <c r="K14" i="13"/>
  <c r="O13" i="13"/>
  <c r="N13" i="13"/>
  <c r="M13" i="13"/>
  <c r="L13" i="13"/>
  <c r="K13" i="13"/>
  <c r="I39" i="13"/>
  <c r="A39" i="13"/>
  <c r="I30" i="13"/>
  <c r="A30" i="13"/>
  <c r="H16" i="13"/>
  <c r="H15" i="13"/>
  <c r="H14" i="13"/>
  <c r="H13" i="13"/>
  <c r="G16" i="13"/>
  <c r="G15" i="13"/>
  <c r="G14" i="13"/>
  <c r="G13" i="13"/>
  <c r="F16" i="13"/>
  <c r="F15" i="13"/>
  <c r="F14" i="13"/>
  <c r="F13" i="13"/>
  <c r="E16" i="13"/>
  <c r="E15" i="13"/>
  <c r="E14" i="13"/>
  <c r="E13" i="13"/>
  <c r="D16" i="13"/>
  <c r="D15" i="13"/>
  <c r="D14" i="13"/>
  <c r="D13" i="13"/>
  <c r="C16" i="13"/>
  <c r="C15" i="13"/>
  <c r="C14" i="13"/>
  <c r="C13" i="13"/>
  <c r="B16" i="13"/>
  <c r="B15" i="13"/>
  <c r="B13" i="13"/>
  <c r="B14" i="13"/>
  <c r="I54" i="13"/>
  <c r="I53" i="13"/>
  <c r="I52" i="13"/>
  <c r="I51" i="13"/>
  <c r="G54" i="13"/>
  <c r="G53" i="13"/>
  <c r="G52" i="13"/>
  <c r="G51" i="13"/>
  <c r="E54" i="13"/>
  <c r="E53" i="13"/>
  <c r="E52" i="13"/>
  <c r="E51" i="13"/>
  <c r="C54" i="13"/>
  <c r="C53" i="13"/>
  <c r="C52" i="13"/>
  <c r="C51" i="13"/>
  <c r="H54" i="13"/>
  <c r="H53" i="13"/>
  <c r="H52" i="13"/>
  <c r="H51" i="13"/>
  <c r="F54" i="13"/>
  <c r="F53" i="13"/>
  <c r="F52" i="13"/>
  <c r="F51" i="13"/>
  <c r="D54" i="13"/>
  <c r="D53" i="13"/>
  <c r="D52" i="13"/>
  <c r="D51" i="13"/>
  <c r="B54" i="13"/>
  <c r="B53" i="13"/>
  <c r="B52" i="13"/>
  <c r="B51" i="13"/>
  <c r="N45" i="13"/>
  <c r="N44" i="13"/>
  <c r="N43" i="13"/>
  <c r="N42" i="13"/>
  <c r="L45" i="13"/>
  <c r="L44" i="13"/>
  <c r="L43" i="13"/>
  <c r="L42" i="13"/>
  <c r="K45" i="13"/>
  <c r="K44" i="13"/>
  <c r="K43" i="13"/>
  <c r="K42" i="13"/>
  <c r="J45" i="13"/>
  <c r="J44" i="13"/>
  <c r="J43" i="13"/>
  <c r="J42" i="13"/>
  <c r="N36" i="13"/>
  <c r="N35" i="13"/>
  <c r="N34" i="13"/>
  <c r="N33" i="13"/>
  <c r="L36" i="13"/>
  <c r="K36" i="13"/>
  <c r="L35" i="13"/>
  <c r="K35" i="13"/>
  <c r="L33" i="13"/>
  <c r="K33" i="13"/>
  <c r="L34" i="13"/>
  <c r="K34" i="13"/>
  <c r="D33" i="13"/>
  <c r="J36" i="13"/>
  <c r="J35" i="13"/>
  <c r="J34" i="13"/>
  <c r="J33" i="13"/>
  <c r="G45" i="13"/>
  <c r="G44" i="13"/>
  <c r="G43" i="13"/>
  <c r="G42" i="13"/>
  <c r="D42" i="13"/>
  <c r="D45" i="13"/>
  <c r="D44" i="13"/>
  <c r="D43" i="13"/>
  <c r="C45" i="13"/>
  <c r="C44" i="13"/>
  <c r="C42" i="13"/>
  <c r="C43" i="13"/>
  <c r="B45" i="13"/>
  <c r="B44" i="13"/>
  <c r="B43" i="13"/>
  <c r="B42" i="13"/>
  <c r="U5" i="13"/>
  <c r="S5" i="13"/>
  <c r="S8" i="13"/>
  <c r="S7" i="13"/>
  <c r="S6" i="13"/>
  <c r="W8" i="13"/>
  <c r="W7" i="13"/>
  <c r="W5" i="13"/>
  <c r="U8" i="13"/>
  <c r="U7" i="13"/>
  <c r="U6" i="13"/>
  <c r="Q8" i="13"/>
  <c r="Q7" i="13"/>
  <c r="Q6" i="13"/>
  <c r="Q5" i="13"/>
  <c r="W6" i="13"/>
  <c r="D36" i="13"/>
  <c r="C36" i="13"/>
  <c r="D35" i="13"/>
  <c r="C35" i="13"/>
  <c r="D34" i="13"/>
  <c r="C34" i="13"/>
  <c r="C33" i="13"/>
  <c r="B36" i="13"/>
  <c r="B35" i="13"/>
  <c r="B34" i="13"/>
  <c r="B33" i="13"/>
  <c r="H26" i="13"/>
  <c r="G26" i="13"/>
  <c r="F26" i="13"/>
  <c r="E26" i="13"/>
  <c r="D26" i="13"/>
  <c r="C26" i="13"/>
  <c r="H25" i="13"/>
  <c r="G25" i="13"/>
  <c r="F25" i="13"/>
  <c r="E25" i="13"/>
  <c r="D25" i="13"/>
  <c r="C25" i="13"/>
  <c r="H24" i="13"/>
  <c r="G24" i="13"/>
  <c r="F24" i="13"/>
  <c r="E24" i="13"/>
  <c r="D24" i="13"/>
  <c r="C24" i="13"/>
  <c r="H23" i="13"/>
  <c r="G23" i="13"/>
  <c r="F23" i="13"/>
  <c r="E23" i="13"/>
  <c r="D23" i="13"/>
  <c r="C23" i="13"/>
  <c r="B26" i="13"/>
  <c r="B25" i="13"/>
  <c r="B24" i="13"/>
  <c r="B23" i="13"/>
  <c r="D8" i="13"/>
  <c r="D7" i="13"/>
  <c r="D6" i="13"/>
  <c r="D5" i="13"/>
  <c r="J8" i="13"/>
  <c r="I8" i="13"/>
  <c r="J7" i="13"/>
  <c r="I7" i="13"/>
  <c r="J6" i="13"/>
  <c r="I6" i="13"/>
  <c r="J5" i="13"/>
  <c r="I5" i="13"/>
  <c r="C8" i="13"/>
  <c r="B8" i="13"/>
  <c r="C7" i="13"/>
  <c r="B7" i="13"/>
  <c r="C5" i="13"/>
  <c r="B5" i="13"/>
  <c r="C6" i="13"/>
  <c r="B6" i="13"/>
  <c r="O17" i="13" l="1"/>
  <c r="K17" i="13"/>
  <c r="L17" i="13"/>
  <c r="N17" i="13"/>
  <c r="M17" i="13"/>
  <c r="B17" i="13"/>
  <c r="F17" i="13"/>
  <c r="C17" i="13"/>
  <c r="E17" i="13"/>
  <c r="G17" i="13"/>
  <c r="D17" i="13"/>
  <c r="H17" i="13"/>
  <c r="I55" i="13"/>
  <c r="G55" i="13"/>
  <c r="E55" i="13"/>
  <c r="C55" i="13"/>
  <c r="N46" i="13"/>
  <c r="L46" i="13"/>
  <c r="K46" i="13"/>
  <c r="J46" i="13"/>
  <c r="N37" i="13"/>
  <c r="C46" i="13"/>
  <c r="D27" i="13"/>
  <c r="L37" i="13"/>
  <c r="K37" i="13"/>
  <c r="J37" i="13"/>
  <c r="G46" i="13"/>
  <c r="D46" i="13"/>
  <c r="B46" i="13"/>
  <c r="S9" i="13"/>
  <c r="Q9" i="13"/>
  <c r="W9" i="13"/>
  <c r="U9" i="13"/>
  <c r="F27" i="13"/>
  <c r="G27" i="13"/>
  <c r="B27" i="13"/>
  <c r="C37" i="13"/>
  <c r="D37" i="13"/>
  <c r="H27" i="13"/>
  <c r="C27" i="13"/>
  <c r="E27" i="13"/>
  <c r="B37" i="13"/>
  <c r="D9" i="13"/>
  <c r="J9" i="13"/>
  <c r="B9" i="13"/>
  <c r="C9" i="13"/>
  <c r="I9" i="13"/>
  <c r="N32" i="12"/>
  <c r="N31" i="12"/>
  <c r="E25" i="12"/>
  <c r="E24" i="12"/>
  <c r="H23" i="12"/>
  <c r="G23" i="12"/>
  <c r="F23" i="12"/>
  <c r="E23" i="12"/>
  <c r="E22" i="12"/>
  <c r="I17" i="12"/>
  <c r="I16" i="12"/>
  <c r="I15" i="12"/>
  <c r="I14" i="12"/>
  <c r="I18" i="12" s="1"/>
  <c r="I9" i="12"/>
  <c r="I8" i="12"/>
  <c r="I10" i="12" s="1"/>
  <c r="I7" i="12"/>
  <c r="I6" i="12"/>
  <c r="T28" i="10"/>
  <c r="T36" i="10"/>
  <c r="T42" i="10"/>
  <c r="T17" i="10"/>
  <c r="T58" i="10"/>
  <c r="T25" i="10"/>
  <c r="T39" i="10"/>
  <c r="T9" i="10"/>
  <c r="T40" i="10"/>
  <c r="T41" i="10"/>
  <c r="T10" i="10"/>
  <c r="T11" i="10"/>
  <c r="T12" i="10"/>
  <c r="T13" i="10"/>
  <c r="T43" i="10"/>
  <c r="T44" i="10"/>
  <c r="T45" i="10"/>
  <c r="T46" i="10"/>
  <c r="T47" i="10"/>
  <c r="T26" i="10"/>
  <c r="T48" i="10"/>
  <c r="T49" i="10"/>
  <c r="T50" i="10"/>
  <c r="T14" i="10"/>
  <c r="T51" i="10"/>
  <c r="T52" i="10"/>
  <c r="T15" i="10"/>
  <c r="T53" i="10"/>
  <c r="T54" i="10"/>
  <c r="T16" i="10"/>
  <c r="T55" i="10"/>
  <c r="T56" i="10"/>
  <c r="T57" i="10"/>
  <c r="T18" i="10"/>
  <c r="T59" i="10"/>
  <c r="T60" i="10"/>
  <c r="T61" i="10"/>
  <c r="T19" i="10"/>
  <c r="T20" i="10"/>
  <c r="T21" i="10"/>
  <c r="T22" i="10"/>
  <c r="T62" i="10"/>
  <c r="T63" i="10"/>
  <c r="T23" i="10"/>
  <c r="T64" i="10"/>
  <c r="T65" i="10"/>
  <c r="T84" i="10"/>
  <c r="T66" i="10"/>
  <c r="T67" i="10"/>
  <c r="T27" i="10"/>
  <c r="T24" i="10"/>
  <c r="T68" i="10"/>
  <c r="T69" i="10"/>
  <c r="T70" i="10"/>
  <c r="T71" i="10"/>
  <c r="T72" i="10"/>
  <c r="T73" i="10"/>
  <c r="T74" i="10"/>
  <c r="T75" i="10"/>
  <c r="T76" i="10"/>
  <c r="T77" i="10"/>
  <c r="T78" i="10"/>
  <c r="T79" i="10"/>
  <c r="T80" i="10"/>
  <c r="T81" i="10"/>
  <c r="T82" i="10"/>
  <c r="T8" i="10"/>
  <c r="T34" i="10"/>
  <c r="T35" i="10"/>
  <c r="T37" i="10"/>
  <c r="T38" i="10"/>
  <c r="T30" i="10"/>
  <c r="T31" i="10"/>
  <c r="T4" i="10"/>
  <c r="T5" i="10"/>
  <c r="T6" i="10"/>
  <c r="T83" i="10"/>
  <c r="T32" i="10"/>
  <c r="T7" i="10"/>
  <c r="T33" i="10"/>
  <c r="T29" i="10"/>
  <c r="H8" i="10"/>
  <c r="H9" i="10"/>
  <c r="H10" i="10"/>
  <c r="H7" i="10"/>
  <c r="M17" i="5"/>
  <c r="M16" i="5"/>
  <c r="M15" i="5"/>
  <c r="M14" i="5"/>
  <c r="M9" i="5"/>
  <c r="M8" i="5"/>
  <c r="M6" i="5"/>
  <c r="M7" i="5"/>
  <c r="U29" i="7"/>
  <c r="U30" i="7"/>
  <c r="M30" i="7"/>
  <c r="M29" i="7"/>
  <c r="M28" i="7"/>
  <c r="U28" i="7" s="1"/>
  <c r="M27" i="7"/>
  <c r="U27" i="7" s="1"/>
  <c r="S28" i="7"/>
  <c r="S29" i="7"/>
  <c r="S30" i="7"/>
  <c r="S27" i="7"/>
  <c r="R36" i="7"/>
  <c r="R33" i="7"/>
  <c r="Q33" i="7"/>
  <c r="P33" i="7"/>
  <c r="O33" i="7"/>
  <c r="L33" i="7"/>
  <c r="K33" i="7"/>
  <c r="Q36" i="7" s="1"/>
  <c r="J33" i="7"/>
  <c r="P36" i="7" s="1"/>
  <c r="I33" i="7"/>
  <c r="O36" i="7" s="1"/>
  <c r="R31" i="7"/>
  <c r="L31" i="7"/>
  <c r="U31" i="7" s="1"/>
  <c r="R30" i="7"/>
  <c r="Q30" i="7"/>
  <c r="P30" i="7"/>
  <c r="R29" i="7"/>
  <c r="Q29" i="7"/>
  <c r="P29" i="7"/>
  <c r="R28" i="7"/>
  <c r="Q28" i="7"/>
  <c r="P28" i="7"/>
  <c r="R27" i="7"/>
  <c r="Q27" i="7"/>
  <c r="P27" i="7"/>
  <c r="O30" i="7"/>
  <c r="O29" i="7"/>
  <c r="O28" i="7"/>
  <c r="O27" i="7"/>
  <c r="L30" i="7"/>
  <c r="K30" i="7"/>
  <c r="J30" i="7"/>
  <c r="I30" i="7"/>
  <c r="L29" i="7"/>
  <c r="K29" i="7"/>
  <c r="J29" i="7"/>
  <c r="I29" i="7"/>
  <c r="L28" i="7"/>
  <c r="K28" i="7"/>
  <c r="J28" i="7"/>
  <c r="I28" i="7"/>
  <c r="L27" i="7"/>
  <c r="K27" i="7"/>
  <c r="J27" i="7"/>
  <c r="I27" i="7"/>
  <c r="L23" i="5"/>
  <c r="K23" i="5"/>
  <c r="J23" i="5"/>
  <c r="I23" i="5"/>
  <c r="I24" i="5"/>
  <c r="I25" i="5"/>
  <c r="I22" i="5"/>
  <c r="E25" i="4"/>
  <c r="E26" i="4"/>
  <c r="E27" i="4"/>
  <c r="E28" i="4"/>
  <c r="E29" i="4"/>
  <c r="BJ91" i="1"/>
  <c r="BJ92" i="1"/>
  <c r="BJ93" i="1"/>
  <c r="BJ94" i="1"/>
  <c r="BJ95" i="1"/>
  <c r="BJ96" i="1"/>
  <c r="BJ97" i="1"/>
  <c r="BJ98" i="1"/>
  <c r="BJ99" i="1"/>
  <c r="BJ100" i="1"/>
  <c r="BJ101" i="1"/>
  <c r="BJ102" i="1"/>
  <c r="BJ88" i="1"/>
  <c r="BJ89" i="1"/>
  <c r="BJ90" i="1"/>
  <c r="BJ4" i="1"/>
  <c r="BJ5" i="1"/>
  <c r="BJ6" i="1"/>
  <c r="BJ7" i="1"/>
  <c r="BJ8" i="1"/>
  <c r="BJ9" i="1"/>
  <c r="BJ10" i="1"/>
  <c r="BJ11" i="1"/>
  <c r="BJ12" i="1"/>
  <c r="BJ13" i="1"/>
  <c r="BJ14" i="1"/>
  <c r="BJ15" i="1"/>
  <c r="BJ16" i="1"/>
  <c r="BJ17" i="1"/>
  <c r="BJ18" i="1"/>
  <c r="BJ19" i="1"/>
  <c r="BJ20" i="1"/>
  <c r="BJ21" i="1"/>
  <c r="BJ22" i="1"/>
  <c r="BJ23" i="1"/>
  <c r="BJ24" i="1"/>
  <c r="BJ25" i="1"/>
  <c r="BJ26" i="1"/>
  <c r="BJ27" i="1"/>
  <c r="BJ28" i="1"/>
  <c r="BJ29" i="1"/>
  <c r="BJ30" i="1"/>
  <c r="BJ31" i="1"/>
  <c r="BJ32" i="1"/>
  <c r="BJ33" i="1"/>
  <c r="BJ34" i="1"/>
  <c r="BJ35" i="1"/>
  <c r="BJ36" i="1"/>
  <c r="BJ37" i="1"/>
  <c r="BJ38" i="1"/>
  <c r="BJ39" i="1"/>
  <c r="BJ40" i="1"/>
  <c r="BJ41" i="1"/>
  <c r="BJ42" i="1"/>
  <c r="BJ43" i="1"/>
  <c r="BJ44" i="1"/>
  <c r="BJ45" i="1"/>
  <c r="BJ46" i="1"/>
  <c r="BJ47" i="1"/>
  <c r="BJ48" i="1"/>
  <c r="BJ49" i="1"/>
  <c r="BJ50" i="1"/>
  <c r="BJ51" i="1"/>
  <c r="BJ52" i="1"/>
  <c r="BJ53" i="1"/>
  <c r="BJ54" i="1"/>
  <c r="BJ55" i="1"/>
  <c r="BJ56" i="1"/>
  <c r="BJ57" i="1"/>
  <c r="BJ58" i="1"/>
  <c r="BJ59" i="1"/>
  <c r="BJ60" i="1"/>
  <c r="BJ61" i="1"/>
  <c r="BJ62" i="1"/>
  <c r="BJ63" i="1"/>
  <c r="BJ64" i="1"/>
  <c r="BJ65" i="1"/>
  <c r="BJ66" i="1"/>
  <c r="BJ67" i="1"/>
  <c r="BJ68" i="1"/>
  <c r="BJ69" i="1"/>
  <c r="BJ70" i="1"/>
  <c r="BJ71" i="1"/>
  <c r="BJ72" i="1"/>
  <c r="BJ73" i="1"/>
  <c r="BJ74" i="1"/>
  <c r="BJ75" i="1"/>
  <c r="BJ76" i="1"/>
  <c r="BJ77" i="1"/>
  <c r="BJ78" i="1"/>
  <c r="BJ79" i="1"/>
  <c r="BJ80" i="1"/>
  <c r="BJ81" i="1"/>
  <c r="BJ82" i="1"/>
  <c r="BJ83" i="1"/>
  <c r="BJ84" i="1"/>
  <c r="BJ85" i="1"/>
  <c r="BJ86" i="1"/>
  <c r="BJ87" i="1"/>
  <c r="BJ2" i="1"/>
  <c r="B85" i="4"/>
  <c r="C85" i="4"/>
  <c r="D85" i="4"/>
  <c r="E85" i="4"/>
  <c r="F85" i="4"/>
  <c r="G85" i="4"/>
  <c r="H85" i="4"/>
  <c r="L85" i="4"/>
  <c r="BF85" i="4"/>
  <c r="B86" i="4"/>
  <c r="C86" i="4"/>
  <c r="D86" i="4"/>
  <c r="E86" i="4"/>
  <c r="F86" i="4"/>
  <c r="G86" i="4"/>
  <c r="H86" i="4"/>
  <c r="L86" i="4"/>
  <c r="BF86" i="4"/>
  <c r="B87" i="4"/>
  <c r="C87" i="4"/>
  <c r="D87" i="4"/>
  <c r="E87" i="4"/>
  <c r="F87" i="4"/>
  <c r="G87" i="4"/>
  <c r="H87" i="4"/>
  <c r="L87" i="4"/>
  <c r="BF87" i="4"/>
  <c r="B63" i="4"/>
  <c r="C63" i="4"/>
  <c r="D63" i="4"/>
  <c r="E63" i="4"/>
  <c r="F63" i="4"/>
  <c r="G63" i="4"/>
  <c r="H63" i="4"/>
  <c r="L63" i="4"/>
  <c r="BF63" i="4"/>
  <c r="B64" i="4"/>
  <c r="C64" i="4"/>
  <c r="D64" i="4"/>
  <c r="E64" i="4"/>
  <c r="F64" i="4"/>
  <c r="G64" i="4"/>
  <c r="H64" i="4"/>
  <c r="L64" i="4"/>
  <c r="BF64" i="4"/>
  <c r="B65" i="4"/>
  <c r="C65" i="4"/>
  <c r="D65" i="4"/>
  <c r="E65" i="4"/>
  <c r="F65" i="4"/>
  <c r="G65" i="4"/>
  <c r="H65" i="4"/>
  <c r="L65" i="4"/>
  <c r="BF65" i="4"/>
  <c r="B66" i="4"/>
  <c r="C66" i="4"/>
  <c r="D66" i="4"/>
  <c r="E66" i="4"/>
  <c r="F66" i="4"/>
  <c r="G66" i="4"/>
  <c r="H66" i="4"/>
  <c r="L66" i="4"/>
  <c r="BF66" i="4"/>
  <c r="B67" i="4"/>
  <c r="C67" i="4"/>
  <c r="D67" i="4"/>
  <c r="E67" i="4"/>
  <c r="F67" i="4"/>
  <c r="G67" i="4"/>
  <c r="H67" i="4"/>
  <c r="L67" i="4"/>
  <c r="BF67" i="4"/>
  <c r="B68" i="4"/>
  <c r="C68" i="4"/>
  <c r="D68" i="4"/>
  <c r="E68" i="4"/>
  <c r="F68" i="4"/>
  <c r="G68" i="4"/>
  <c r="H68" i="4"/>
  <c r="L68" i="4"/>
  <c r="BF68" i="4"/>
  <c r="B69" i="4"/>
  <c r="C69" i="4"/>
  <c r="D69" i="4"/>
  <c r="E69" i="4"/>
  <c r="F69" i="4"/>
  <c r="G69" i="4"/>
  <c r="H69" i="4"/>
  <c r="L69" i="4"/>
  <c r="BF69" i="4"/>
  <c r="B70" i="4"/>
  <c r="C70" i="4"/>
  <c r="D70" i="4"/>
  <c r="E70" i="4"/>
  <c r="F70" i="4"/>
  <c r="G70" i="4"/>
  <c r="H70" i="4"/>
  <c r="L70" i="4"/>
  <c r="BF70" i="4"/>
  <c r="B71" i="4"/>
  <c r="C71" i="4"/>
  <c r="D71" i="4"/>
  <c r="E71" i="4"/>
  <c r="F71" i="4"/>
  <c r="G71" i="4"/>
  <c r="H71" i="4"/>
  <c r="L71" i="4"/>
  <c r="BF71" i="4"/>
  <c r="B72" i="4"/>
  <c r="C72" i="4"/>
  <c r="D72" i="4"/>
  <c r="E72" i="4"/>
  <c r="F72" i="4"/>
  <c r="G72" i="4"/>
  <c r="H72" i="4"/>
  <c r="L72" i="4"/>
  <c r="BF72" i="4"/>
  <c r="B73" i="4"/>
  <c r="C73" i="4"/>
  <c r="D73" i="4"/>
  <c r="E73" i="4"/>
  <c r="F73" i="4"/>
  <c r="G73" i="4"/>
  <c r="H73" i="4"/>
  <c r="L73" i="4"/>
  <c r="BF73" i="4"/>
  <c r="B74" i="4"/>
  <c r="C74" i="4"/>
  <c r="D74" i="4"/>
  <c r="E74" i="4"/>
  <c r="F74" i="4"/>
  <c r="G74" i="4"/>
  <c r="H74" i="4"/>
  <c r="L74" i="4"/>
  <c r="BF74" i="4"/>
  <c r="B75" i="4"/>
  <c r="C75" i="4"/>
  <c r="D75" i="4"/>
  <c r="E75" i="4"/>
  <c r="F75" i="4"/>
  <c r="G75" i="4"/>
  <c r="H75" i="4"/>
  <c r="L75" i="4"/>
  <c r="BF75" i="4"/>
  <c r="B76" i="4"/>
  <c r="C76" i="4"/>
  <c r="D76" i="4"/>
  <c r="E76" i="4"/>
  <c r="F76" i="4"/>
  <c r="G76" i="4"/>
  <c r="H76" i="4"/>
  <c r="L76" i="4"/>
  <c r="BF76" i="4"/>
  <c r="B77" i="4"/>
  <c r="C77" i="4"/>
  <c r="D77" i="4"/>
  <c r="E77" i="4"/>
  <c r="F77" i="4"/>
  <c r="G77" i="4"/>
  <c r="H77" i="4"/>
  <c r="L77" i="4"/>
  <c r="BF77" i="4"/>
  <c r="B78" i="4"/>
  <c r="C78" i="4"/>
  <c r="D78" i="4"/>
  <c r="E78" i="4"/>
  <c r="F78" i="4"/>
  <c r="G78" i="4"/>
  <c r="H78" i="4"/>
  <c r="L78" i="4"/>
  <c r="BF78" i="4"/>
  <c r="B79" i="4"/>
  <c r="C79" i="4"/>
  <c r="D79" i="4"/>
  <c r="E79" i="4"/>
  <c r="F79" i="4"/>
  <c r="G79" i="4"/>
  <c r="H79" i="4"/>
  <c r="L79" i="4"/>
  <c r="BF79" i="4"/>
  <c r="B80" i="4"/>
  <c r="C80" i="4"/>
  <c r="D80" i="4"/>
  <c r="E80" i="4"/>
  <c r="F80" i="4"/>
  <c r="G80" i="4"/>
  <c r="H80" i="4"/>
  <c r="L80" i="4"/>
  <c r="BF80" i="4"/>
  <c r="B81" i="4"/>
  <c r="C81" i="4"/>
  <c r="D81" i="4"/>
  <c r="E81" i="4"/>
  <c r="F81" i="4"/>
  <c r="G81" i="4"/>
  <c r="H81" i="4"/>
  <c r="L81" i="4"/>
  <c r="BF81" i="4"/>
  <c r="B82" i="4"/>
  <c r="C82" i="4"/>
  <c r="D82" i="4"/>
  <c r="E82" i="4"/>
  <c r="F82" i="4"/>
  <c r="G82" i="4"/>
  <c r="H82" i="4"/>
  <c r="L82" i="4"/>
  <c r="BF82" i="4"/>
  <c r="B83" i="4"/>
  <c r="C83" i="4"/>
  <c r="D83" i="4"/>
  <c r="E83" i="4"/>
  <c r="F83" i="4"/>
  <c r="G83" i="4"/>
  <c r="H83" i="4"/>
  <c r="L83" i="4"/>
  <c r="BF83" i="4"/>
  <c r="B84" i="4"/>
  <c r="C84" i="4"/>
  <c r="D84" i="4"/>
  <c r="E84" i="4"/>
  <c r="F84" i="4"/>
  <c r="G84" i="4"/>
  <c r="H84" i="4"/>
  <c r="L84" i="4"/>
  <c r="BF84" i="4"/>
  <c r="BF4" i="4"/>
  <c r="BF5" i="4"/>
  <c r="BF6" i="4"/>
  <c r="BF7" i="4"/>
  <c r="BF8" i="4"/>
  <c r="BF9" i="4"/>
  <c r="BF10" i="4"/>
  <c r="BF11" i="4"/>
  <c r="BF12" i="4"/>
  <c r="BF13" i="4"/>
  <c r="BF14" i="4"/>
  <c r="BF15" i="4"/>
  <c r="BF16" i="4"/>
  <c r="BF17" i="4"/>
  <c r="BF18" i="4"/>
  <c r="BF19" i="4"/>
  <c r="BF20" i="4"/>
  <c r="BF21" i="4"/>
  <c r="BF22" i="4"/>
  <c r="BF23" i="4"/>
  <c r="BF24" i="4"/>
  <c r="BF25" i="4"/>
  <c r="BF26" i="4"/>
  <c r="BF27" i="4"/>
  <c r="BF28" i="4"/>
  <c r="BF29" i="4"/>
  <c r="BF30" i="4"/>
  <c r="BF31" i="4"/>
  <c r="BF32" i="4"/>
  <c r="BF33" i="4"/>
  <c r="BF34" i="4"/>
  <c r="BF35" i="4"/>
  <c r="BF36" i="4"/>
  <c r="BF37" i="4"/>
  <c r="BF38" i="4"/>
  <c r="BF39" i="4"/>
  <c r="BF40" i="4"/>
  <c r="BF41" i="4"/>
  <c r="BF42" i="4"/>
  <c r="BF43" i="4"/>
  <c r="BF44" i="4"/>
  <c r="BF45" i="4"/>
  <c r="BF46" i="4"/>
  <c r="BF47" i="4"/>
  <c r="BF48" i="4"/>
  <c r="BF49" i="4"/>
  <c r="BF50" i="4"/>
  <c r="BF51" i="4"/>
  <c r="BF52" i="4"/>
  <c r="BF53" i="4"/>
  <c r="BF54" i="4"/>
  <c r="BF55" i="4"/>
  <c r="BF56" i="4"/>
  <c r="BF57" i="4"/>
  <c r="BF58" i="4"/>
  <c r="BF59" i="4"/>
  <c r="BF60" i="4"/>
  <c r="BF61" i="4"/>
  <c r="BF62" i="4"/>
  <c r="BF3" i="4"/>
  <c r="BF3" i="1"/>
  <c r="BG3" i="1"/>
  <c r="BH3" i="1"/>
  <c r="BI3" i="1"/>
  <c r="BJ3" i="1"/>
  <c r="BK3" i="1"/>
  <c r="BL3" i="1"/>
  <c r="BF4" i="1"/>
  <c r="BG4" i="1"/>
  <c r="BH4" i="1"/>
  <c r="BI4" i="1"/>
  <c r="BK4" i="1"/>
  <c r="BL4" i="1"/>
  <c r="BF5" i="1"/>
  <c r="BG5" i="1"/>
  <c r="BH5" i="1"/>
  <c r="BI5" i="1"/>
  <c r="BK5" i="1"/>
  <c r="BL5" i="1"/>
  <c r="BF6" i="1"/>
  <c r="BG6" i="1"/>
  <c r="BH6" i="1"/>
  <c r="BI6" i="1"/>
  <c r="BK6" i="1"/>
  <c r="BL6" i="1"/>
  <c r="BF7" i="1"/>
  <c r="BG7" i="1"/>
  <c r="BH7" i="1"/>
  <c r="BI7" i="1"/>
  <c r="BK7" i="1"/>
  <c r="BL7" i="1"/>
  <c r="BF8" i="1"/>
  <c r="BG8" i="1"/>
  <c r="BH8" i="1"/>
  <c r="BI8" i="1"/>
  <c r="BK8" i="1"/>
  <c r="BL8" i="1"/>
  <c r="BF9" i="1"/>
  <c r="BG9" i="1"/>
  <c r="BH9" i="1"/>
  <c r="BI9" i="1"/>
  <c r="BK9" i="1"/>
  <c r="BL9" i="1"/>
  <c r="BF10" i="1"/>
  <c r="BG10" i="1"/>
  <c r="BH10" i="1"/>
  <c r="BI10" i="1"/>
  <c r="BK10" i="1"/>
  <c r="BL10" i="1"/>
  <c r="BF11" i="1"/>
  <c r="BG11" i="1"/>
  <c r="BH11" i="1"/>
  <c r="BI11" i="1"/>
  <c r="BK11" i="1"/>
  <c r="BL11" i="1"/>
  <c r="BF12" i="1"/>
  <c r="BG12" i="1"/>
  <c r="BH12" i="1"/>
  <c r="BI12" i="1"/>
  <c r="BK12" i="1"/>
  <c r="BL12" i="1"/>
  <c r="BF13" i="1"/>
  <c r="BG13" i="1"/>
  <c r="BH13" i="1"/>
  <c r="BI13" i="1"/>
  <c r="BK13" i="1"/>
  <c r="BL13" i="1"/>
  <c r="BF14" i="1"/>
  <c r="BG14" i="1"/>
  <c r="BH14" i="1"/>
  <c r="BI14" i="1"/>
  <c r="BK14" i="1"/>
  <c r="BL14" i="1"/>
  <c r="BF15" i="1"/>
  <c r="BG15" i="1"/>
  <c r="BH15" i="1"/>
  <c r="BI15" i="1"/>
  <c r="BK15" i="1"/>
  <c r="BL15" i="1"/>
  <c r="BF16" i="1"/>
  <c r="BG16" i="1"/>
  <c r="BH16" i="1"/>
  <c r="BI16" i="1"/>
  <c r="BK16" i="1"/>
  <c r="BL16" i="1"/>
  <c r="BF17" i="1"/>
  <c r="BG17" i="1"/>
  <c r="BH17" i="1"/>
  <c r="BI17" i="1"/>
  <c r="BK17" i="1"/>
  <c r="BL17" i="1"/>
  <c r="BF18" i="1"/>
  <c r="BG18" i="1"/>
  <c r="BH18" i="1"/>
  <c r="BI18" i="1"/>
  <c r="BK18" i="1"/>
  <c r="BL18" i="1"/>
  <c r="BF19" i="1"/>
  <c r="BG19" i="1"/>
  <c r="BH19" i="1"/>
  <c r="BI19" i="1"/>
  <c r="BK19" i="1"/>
  <c r="BL19" i="1"/>
  <c r="BF20" i="1"/>
  <c r="BG20" i="1"/>
  <c r="BH20" i="1"/>
  <c r="BI20" i="1"/>
  <c r="BK20" i="1"/>
  <c r="BL20" i="1"/>
  <c r="BF21" i="1"/>
  <c r="BG21" i="1"/>
  <c r="BH21" i="1"/>
  <c r="BI21" i="1"/>
  <c r="BK21" i="1"/>
  <c r="BL21" i="1"/>
  <c r="BF22" i="1"/>
  <c r="BG22" i="1"/>
  <c r="BH22" i="1"/>
  <c r="BI22" i="1"/>
  <c r="BK22" i="1"/>
  <c r="BL22" i="1"/>
  <c r="BF23" i="1"/>
  <c r="BG23" i="1"/>
  <c r="BH23" i="1"/>
  <c r="BI23" i="1"/>
  <c r="BK23" i="1"/>
  <c r="BL23" i="1"/>
  <c r="BF24" i="1"/>
  <c r="BG24" i="1"/>
  <c r="BH24" i="1"/>
  <c r="BI24" i="1"/>
  <c r="BK24" i="1"/>
  <c r="BL24" i="1"/>
  <c r="BF25" i="1"/>
  <c r="BG25" i="1"/>
  <c r="BH25" i="1"/>
  <c r="BI25" i="1"/>
  <c r="BK25" i="1"/>
  <c r="BL25" i="1"/>
  <c r="BF26" i="1"/>
  <c r="BG26" i="1"/>
  <c r="BH26" i="1"/>
  <c r="BI26" i="1"/>
  <c r="BK26" i="1"/>
  <c r="BL26" i="1"/>
  <c r="BF27" i="1"/>
  <c r="BG27" i="1"/>
  <c r="BH27" i="1"/>
  <c r="BI27" i="1"/>
  <c r="BK27" i="1"/>
  <c r="BL27" i="1"/>
  <c r="BF28" i="1"/>
  <c r="BG28" i="1"/>
  <c r="BH28" i="1"/>
  <c r="BI28" i="1"/>
  <c r="BK28" i="1"/>
  <c r="BL28" i="1"/>
  <c r="BF29" i="1"/>
  <c r="BG29" i="1"/>
  <c r="BH29" i="1"/>
  <c r="BI29" i="1"/>
  <c r="BK29" i="1"/>
  <c r="BL29" i="1"/>
  <c r="BF30" i="1"/>
  <c r="BG30" i="1"/>
  <c r="BH30" i="1"/>
  <c r="BI30" i="1"/>
  <c r="BK30" i="1"/>
  <c r="BL30" i="1"/>
  <c r="BF31" i="1"/>
  <c r="BG31" i="1"/>
  <c r="BH31" i="1"/>
  <c r="BI31" i="1"/>
  <c r="BK31" i="1"/>
  <c r="BL31" i="1"/>
  <c r="BF32" i="1"/>
  <c r="BG32" i="1"/>
  <c r="BH32" i="1"/>
  <c r="BI32" i="1"/>
  <c r="BK32" i="1"/>
  <c r="BL32" i="1"/>
  <c r="BF33" i="1"/>
  <c r="BG33" i="1"/>
  <c r="BH33" i="1"/>
  <c r="BI33" i="1"/>
  <c r="BK33" i="1"/>
  <c r="BL33" i="1"/>
  <c r="BF34" i="1"/>
  <c r="BG34" i="1"/>
  <c r="BH34" i="1"/>
  <c r="BI34" i="1"/>
  <c r="BK34" i="1"/>
  <c r="BL34" i="1"/>
  <c r="BF35" i="1"/>
  <c r="BG35" i="1"/>
  <c r="BH35" i="1"/>
  <c r="BI35" i="1"/>
  <c r="BK35" i="1"/>
  <c r="BL35" i="1"/>
  <c r="BF36" i="1"/>
  <c r="BG36" i="1"/>
  <c r="BH36" i="1"/>
  <c r="BI36" i="1"/>
  <c r="BK36" i="1"/>
  <c r="BL36" i="1"/>
  <c r="BF37" i="1"/>
  <c r="BG37" i="1"/>
  <c r="BH37" i="1"/>
  <c r="BI37" i="1"/>
  <c r="BK37" i="1"/>
  <c r="BL37" i="1"/>
  <c r="BF38" i="1"/>
  <c r="BG38" i="1"/>
  <c r="BH38" i="1"/>
  <c r="BI38" i="1"/>
  <c r="BK38" i="1"/>
  <c r="BL38" i="1"/>
  <c r="BF39" i="1"/>
  <c r="BG39" i="1"/>
  <c r="BH39" i="1"/>
  <c r="BI39" i="1"/>
  <c r="BK39" i="1"/>
  <c r="BL39" i="1"/>
  <c r="BF40" i="1"/>
  <c r="BG40" i="1"/>
  <c r="BH40" i="1"/>
  <c r="BI40" i="1"/>
  <c r="BK40" i="1"/>
  <c r="BL40" i="1"/>
  <c r="BF41" i="1"/>
  <c r="BG41" i="1"/>
  <c r="BH41" i="1"/>
  <c r="BI41" i="1"/>
  <c r="BK41" i="1"/>
  <c r="BL41" i="1"/>
  <c r="BF42" i="1"/>
  <c r="BG42" i="1"/>
  <c r="BH42" i="1"/>
  <c r="BI42" i="1"/>
  <c r="BK42" i="1"/>
  <c r="BL42" i="1"/>
  <c r="BF43" i="1"/>
  <c r="BG43" i="1"/>
  <c r="BH43" i="1"/>
  <c r="BI43" i="1"/>
  <c r="BK43" i="1"/>
  <c r="BL43" i="1"/>
  <c r="BF44" i="1"/>
  <c r="BG44" i="1"/>
  <c r="BH44" i="1"/>
  <c r="BI44" i="1"/>
  <c r="BK44" i="1"/>
  <c r="BL44" i="1"/>
  <c r="BF45" i="1"/>
  <c r="BG45" i="1"/>
  <c r="BH45" i="1"/>
  <c r="BI45" i="1"/>
  <c r="BK45" i="1"/>
  <c r="BL45" i="1"/>
  <c r="BF46" i="1"/>
  <c r="BG46" i="1"/>
  <c r="BH46" i="1"/>
  <c r="BI46" i="1"/>
  <c r="BK46" i="1"/>
  <c r="BL46" i="1"/>
  <c r="BF47" i="1"/>
  <c r="BG47" i="1"/>
  <c r="BH47" i="1"/>
  <c r="BI47" i="1"/>
  <c r="BK47" i="1"/>
  <c r="BL47" i="1"/>
  <c r="BF48" i="1"/>
  <c r="BG48" i="1"/>
  <c r="BH48" i="1"/>
  <c r="BI48" i="1"/>
  <c r="BK48" i="1"/>
  <c r="BL48" i="1"/>
  <c r="BF49" i="1"/>
  <c r="BG49" i="1"/>
  <c r="BH49" i="1"/>
  <c r="BI49" i="1"/>
  <c r="BK49" i="1"/>
  <c r="BL49" i="1"/>
  <c r="BF50" i="1"/>
  <c r="BG50" i="1"/>
  <c r="BH50" i="1"/>
  <c r="BI50" i="1"/>
  <c r="BK50" i="1"/>
  <c r="BL50" i="1"/>
  <c r="BF51" i="1"/>
  <c r="BG51" i="1"/>
  <c r="BH51" i="1"/>
  <c r="BI51" i="1"/>
  <c r="BK51" i="1"/>
  <c r="BL51" i="1"/>
  <c r="BF52" i="1"/>
  <c r="BG52" i="1"/>
  <c r="BH52" i="1"/>
  <c r="BI52" i="1"/>
  <c r="BK52" i="1"/>
  <c r="BL52" i="1"/>
  <c r="BF53" i="1"/>
  <c r="BG53" i="1"/>
  <c r="BH53" i="1"/>
  <c r="BI53" i="1"/>
  <c r="BK53" i="1"/>
  <c r="BL53" i="1"/>
  <c r="BF54" i="1"/>
  <c r="BG54" i="1"/>
  <c r="BH54" i="1"/>
  <c r="BI54" i="1"/>
  <c r="BK54" i="1"/>
  <c r="BL54" i="1"/>
  <c r="BF55" i="1"/>
  <c r="BG55" i="1"/>
  <c r="BH55" i="1"/>
  <c r="BI55" i="1"/>
  <c r="BK55" i="1"/>
  <c r="BL55" i="1"/>
  <c r="BF56" i="1"/>
  <c r="BG56" i="1"/>
  <c r="BH56" i="1"/>
  <c r="BI56" i="1"/>
  <c r="BK56" i="1"/>
  <c r="BL56" i="1"/>
  <c r="BF57" i="1"/>
  <c r="BG57" i="1"/>
  <c r="BH57" i="1"/>
  <c r="BI57" i="1"/>
  <c r="BK57" i="1"/>
  <c r="BL57" i="1"/>
  <c r="BF58" i="1"/>
  <c r="BG58" i="1"/>
  <c r="BH58" i="1"/>
  <c r="BI58" i="1"/>
  <c r="BK58" i="1"/>
  <c r="BL58" i="1"/>
  <c r="BF59" i="1"/>
  <c r="BG59" i="1"/>
  <c r="BH59" i="1"/>
  <c r="BI59" i="1"/>
  <c r="BK59" i="1"/>
  <c r="BL59" i="1"/>
  <c r="BF60" i="1"/>
  <c r="BG60" i="1"/>
  <c r="BH60" i="1"/>
  <c r="BI60" i="1"/>
  <c r="BK60" i="1"/>
  <c r="BL60" i="1"/>
  <c r="BF61" i="1"/>
  <c r="BG61" i="1"/>
  <c r="BH61" i="1"/>
  <c r="BI61" i="1"/>
  <c r="BK61" i="1"/>
  <c r="BL61" i="1"/>
  <c r="BF62" i="1"/>
  <c r="BG62" i="1"/>
  <c r="BH62" i="1"/>
  <c r="BI62" i="1"/>
  <c r="BK62" i="1"/>
  <c r="BL62" i="1"/>
  <c r="BF63" i="1"/>
  <c r="BG63" i="1"/>
  <c r="BH63" i="1"/>
  <c r="BI63" i="1"/>
  <c r="BK63" i="1"/>
  <c r="BL63" i="1"/>
  <c r="BF64" i="1"/>
  <c r="BG64" i="1"/>
  <c r="BH64" i="1"/>
  <c r="BI64" i="1"/>
  <c r="BK64" i="1"/>
  <c r="BL64" i="1"/>
  <c r="BF65" i="1"/>
  <c r="BG65" i="1"/>
  <c r="BH65" i="1"/>
  <c r="BI65" i="1"/>
  <c r="BK65" i="1"/>
  <c r="BL65" i="1"/>
  <c r="BF66" i="1"/>
  <c r="BG66" i="1"/>
  <c r="BH66" i="1"/>
  <c r="BI66" i="1"/>
  <c r="BK66" i="1"/>
  <c r="BL66" i="1"/>
  <c r="BF67" i="1"/>
  <c r="BG67" i="1"/>
  <c r="BH67" i="1"/>
  <c r="BI67" i="1"/>
  <c r="BK67" i="1"/>
  <c r="BL67" i="1"/>
  <c r="BF68" i="1"/>
  <c r="BG68" i="1"/>
  <c r="BH68" i="1"/>
  <c r="BI68" i="1"/>
  <c r="BK68" i="1"/>
  <c r="BL68" i="1"/>
  <c r="BF69" i="1"/>
  <c r="BG69" i="1"/>
  <c r="BH69" i="1"/>
  <c r="BI69" i="1"/>
  <c r="BK69" i="1"/>
  <c r="BL69" i="1"/>
  <c r="BF70" i="1"/>
  <c r="BG70" i="1"/>
  <c r="BH70" i="1"/>
  <c r="BI70" i="1"/>
  <c r="BK70" i="1"/>
  <c r="BL70" i="1"/>
  <c r="BF71" i="1"/>
  <c r="BG71" i="1"/>
  <c r="BH71" i="1"/>
  <c r="BI71" i="1"/>
  <c r="BK71" i="1"/>
  <c r="BL71" i="1"/>
  <c r="BF72" i="1"/>
  <c r="BG72" i="1"/>
  <c r="BH72" i="1"/>
  <c r="BI72" i="1"/>
  <c r="BK72" i="1"/>
  <c r="BL72" i="1"/>
  <c r="BF73" i="1"/>
  <c r="BG73" i="1"/>
  <c r="BH73" i="1"/>
  <c r="BI73" i="1"/>
  <c r="BK73" i="1"/>
  <c r="BL73" i="1"/>
  <c r="BF74" i="1"/>
  <c r="BG74" i="1"/>
  <c r="BH74" i="1"/>
  <c r="BI74" i="1"/>
  <c r="BK74" i="1"/>
  <c r="BL74" i="1"/>
  <c r="BF75" i="1"/>
  <c r="BG75" i="1"/>
  <c r="BH75" i="1"/>
  <c r="BI75" i="1"/>
  <c r="BK75" i="1"/>
  <c r="BL75" i="1"/>
  <c r="BF76" i="1"/>
  <c r="BG76" i="1"/>
  <c r="BH76" i="1"/>
  <c r="BI76" i="1"/>
  <c r="BK76" i="1"/>
  <c r="BL76" i="1"/>
  <c r="BF77" i="1"/>
  <c r="BG77" i="1"/>
  <c r="BH77" i="1"/>
  <c r="BI77" i="1"/>
  <c r="BK77" i="1"/>
  <c r="BL77" i="1"/>
  <c r="BF78" i="1"/>
  <c r="BG78" i="1"/>
  <c r="BH78" i="1"/>
  <c r="BI78" i="1"/>
  <c r="BK78" i="1"/>
  <c r="BL78" i="1"/>
  <c r="BF79" i="1"/>
  <c r="BG79" i="1"/>
  <c r="BH79" i="1"/>
  <c r="BI79" i="1"/>
  <c r="BK79" i="1"/>
  <c r="BL79" i="1"/>
  <c r="BF80" i="1"/>
  <c r="BG80" i="1"/>
  <c r="BH80" i="1"/>
  <c r="BI80" i="1"/>
  <c r="BK80" i="1"/>
  <c r="BL80" i="1"/>
  <c r="BF81" i="1"/>
  <c r="BG81" i="1"/>
  <c r="BH81" i="1"/>
  <c r="BI81" i="1"/>
  <c r="BK81" i="1"/>
  <c r="BL81" i="1"/>
  <c r="BF82" i="1"/>
  <c r="BG82" i="1"/>
  <c r="BH82" i="1"/>
  <c r="BI82" i="1"/>
  <c r="BK82" i="1"/>
  <c r="BL82" i="1"/>
  <c r="BF83" i="1"/>
  <c r="BG83" i="1"/>
  <c r="BH83" i="1"/>
  <c r="BI83" i="1"/>
  <c r="BK83" i="1"/>
  <c r="BL83" i="1"/>
  <c r="BF84" i="1"/>
  <c r="BG84" i="1"/>
  <c r="BH84" i="1"/>
  <c r="BI84" i="1"/>
  <c r="BK84" i="1"/>
  <c r="BL84" i="1"/>
  <c r="BF85" i="1"/>
  <c r="BG85" i="1"/>
  <c r="BH85" i="1"/>
  <c r="BI85" i="1"/>
  <c r="BK85" i="1"/>
  <c r="BL85" i="1"/>
  <c r="BF86" i="1"/>
  <c r="BG86" i="1"/>
  <c r="BH86" i="1"/>
  <c r="BI86" i="1"/>
  <c r="BK86" i="1"/>
  <c r="BL86" i="1"/>
  <c r="BF87" i="1"/>
  <c r="BG87" i="1"/>
  <c r="BH87" i="1"/>
  <c r="BI87" i="1"/>
  <c r="BK87" i="1"/>
  <c r="BL87" i="1"/>
  <c r="BF88" i="1"/>
  <c r="BG88" i="1"/>
  <c r="BH88" i="1"/>
  <c r="BI88" i="1"/>
  <c r="BK88" i="1"/>
  <c r="BL88" i="1"/>
  <c r="BF89" i="1"/>
  <c r="BG89" i="1"/>
  <c r="BH89" i="1"/>
  <c r="BI89" i="1"/>
  <c r="BK89" i="1"/>
  <c r="BL89" i="1"/>
  <c r="BF90" i="1"/>
  <c r="BG90" i="1"/>
  <c r="BH90" i="1"/>
  <c r="BI90" i="1"/>
  <c r="BK90" i="1"/>
  <c r="BL90" i="1"/>
  <c r="BF91" i="1"/>
  <c r="BG91" i="1"/>
  <c r="BH91" i="1"/>
  <c r="BI91" i="1"/>
  <c r="BK91" i="1"/>
  <c r="BL91" i="1"/>
  <c r="BF92" i="1"/>
  <c r="BG92" i="1"/>
  <c r="BH92" i="1"/>
  <c r="BI92" i="1"/>
  <c r="BK92" i="1"/>
  <c r="BL92" i="1"/>
  <c r="BF93" i="1"/>
  <c r="BG93" i="1"/>
  <c r="BH93" i="1"/>
  <c r="BI93" i="1"/>
  <c r="BK93" i="1"/>
  <c r="BL93" i="1"/>
  <c r="BF94" i="1"/>
  <c r="BG94" i="1"/>
  <c r="BH94" i="1"/>
  <c r="BI94" i="1"/>
  <c r="BK94" i="1"/>
  <c r="BL94" i="1"/>
  <c r="BF95" i="1"/>
  <c r="BG95" i="1"/>
  <c r="BH95" i="1"/>
  <c r="BI95" i="1"/>
  <c r="BK95" i="1"/>
  <c r="BL95" i="1"/>
  <c r="BF96" i="1"/>
  <c r="BG96" i="1"/>
  <c r="BH96" i="1"/>
  <c r="BI96" i="1"/>
  <c r="BK96" i="1"/>
  <c r="BL96" i="1"/>
  <c r="BF97" i="1"/>
  <c r="BG97" i="1"/>
  <c r="BH97" i="1"/>
  <c r="BI97" i="1"/>
  <c r="BK97" i="1"/>
  <c r="BL97" i="1"/>
  <c r="BF98" i="1"/>
  <c r="BG98" i="1"/>
  <c r="BH98" i="1"/>
  <c r="BI98" i="1"/>
  <c r="BK98" i="1"/>
  <c r="BL98" i="1"/>
  <c r="BF99" i="1"/>
  <c r="BG99" i="1"/>
  <c r="BH99" i="1"/>
  <c r="BI99" i="1"/>
  <c r="BK99" i="1"/>
  <c r="BL99" i="1"/>
  <c r="BF100" i="1"/>
  <c r="BG100" i="1"/>
  <c r="BH100" i="1"/>
  <c r="BI100" i="1"/>
  <c r="BK100" i="1"/>
  <c r="BL100" i="1"/>
  <c r="BF101" i="1"/>
  <c r="BG101" i="1"/>
  <c r="BH101" i="1"/>
  <c r="BI101" i="1"/>
  <c r="BK101" i="1"/>
  <c r="BL101" i="1"/>
  <c r="BF102" i="1"/>
  <c r="BG102" i="1"/>
  <c r="BH102" i="1"/>
  <c r="BI102" i="1"/>
  <c r="BK102" i="1"/>
  <c r="BL102" i="1"/>
  <c r="BD7" i="1"/>
  <c r="BE7" i="1"/>
  <c r="BD8" i="1"/>
  <c r="BE8" i="1"/>
  <c r="BD9" i="1"/>
  <c r="BE9" i="1"/>
  <c r="BD10" i="1"/>
  <c r="BE10" i="1"/>
  <c r="BD11" i="1"/>
  <c r="BE11" i="1"/>
  <c r="BD12" i="1"/>
  <c r="BE12" i="1"/>
  <c r="BD13" i="1"/>
  <c r="BE13" i="1"/>
  <c r="BD14" i="1"/>
  <c r="BE14" i="1"/>
  <c r="BD15" i="1"/>
  <c r="BE15" i="1"/>
  <c r="BD16" i="1"/>
  <c r="BE16" i="1"/>
  <c r="BD17" i="1"/>
  <c r="BE17" i="1"/>
  <c r="BD18" i="1"/>
  <c r="BE18" i="1"/>
  <c r="BD19" i="1"/>
  <c r="BE19" i="1"/>
  <c r="BD20" i="1"/>
  <c r="BE20" i="1"/>
  <c r="BD21" i="1"/>
  <c r="BE21" i="1"/>
  <c r="BD22" i="1"/>
  <c r="BE22" i="1"/>
  <c r="BD23" i="1"/>
  <c r="BE23" i="1"/>
  <c r="BD24" i="1"/>
  <c r="BE24" i="1"/>
  <c r="BD25" i="1"/>
  <c r="BE25" i="1"/>
  <c r="BD26" i="1"/>
  <c r="BE26" i="1"/>
  <c r="BD27" i="1"/>
  <c r="BE27" i="1"/>
  <c r="BD28" i="1"/>
  <c r="BE28" i="1"/>
  <c r="BD29" i="1"/>
  <c r="BE29" i="1"/>
  <c r="BD30" i="1"/>
  <c r="BE30" i="1"/>
  <c r="BD31" i="1"/>
  <c r="BE31" i="1"/>
  <c r="BD32" i="1"/>
  <c r="BE32" i="1"/>
  <c r="BD33" i="1"/>
  <c r="BE33" i="1"/>
  <c r="BD34" i="1"/>
  <c r="BE34" i="1"/>
  <c r="BD35" i="1"/>
  <c r="BE35" i="1"/>
  <c r="BD36" i="1"/>
  <c r="BE36" i="1"/>
  <c r="BD37" i="1"/>
  <c r="BE37" i="1"/>
  <c r="BD38" i="1"/>
  <c r="BE38" i="1"/>
  <c r="BD39" i="1"/>
  <c r="BE39" i="1"/>
  <c r="BD40" i="1"/>
  <c r="BE40" i="1"/>
  <c r="BD41" i="1"/>
  <c r="BE41" i="1"/>
  <c r="BD42" i="1"/>
  <c r="BE42" i="1"/>
  <c r="BD43" i="1"/>
  <c r="BE43" i="1"/>
  <c r="BD44" i="1"/>
  <c r="BE44" i="1"/>
  <c r="BD45" i="1"/>
  <c r="BE45" i="1"/>
  <c r="BD46" i="1"/>
  <c r="BE46" i="1"/>
  <c r="BD47" i="1"/>
  <c r="BE47" i="1"/>
  <c r="BD48" i="1"/>
  <c r="BE48" i="1"/>
  <c r="BD49" i="1"/>
  <c r="BE49" i="1"/>
  <c r="BD50" i="1"/>
  <c r="BE50" i="1"/>
  <c r="BD51" i="1"/>
  <c r="BE51" i="1"/>
  <c r="BD52" i="1"/>
  <c r="BE52" i="1"/>
  <c r="BD53" i="1"/>
  <c r="BE53" i="1"/>
  <c r="BD54" i="1"/>
  <c r="BE54" i="1"/>
  <c r="BD55" i="1"/>
  <c r="BE55" i="1"/>
  <c r="BD56" i="1"/>
  <c r="BE56" i="1"/>
  <c r="BD57" i="1"/>
  <c r="BE57" i="1"/>
  <c r="BD58" i="1"/>
  <c r="BE58" i="1"/>
  <c r="BD59" i="1"/>
  <c r="BE59" i="1"/>
  <c r="BD60" i="1"/>
  <c r="BE60" i="1"/>
  <c r="BD61" i="1"/>
  <c r="BE61" i="1"/>
  <c r="BD62" i="1"/>
  <c r="BE62" i="1"/>
  <c r="BD63" i="1"/>
  <c r="BE63" i="1"/>
  <c r="BD64" i="1"/>
  <c r="BE64" i="1"/>
  <c r="BD65" i="1"/>
  <c r="BE65" i="1"/>
  <c r="BD66" i="1"/>
  <c r="BE66" i="1"/>
  <c r="BD67" i="1"/>
  <c r="BE67" i="1"/>
  <c r="BD68" i="1"/>
  <c r="BE68" i="1"/>
  <c r="BD69" i="1"/>
  <c r="BE69" i="1"/>
  <c r="BD70" i="1"/>
  <c r="BE70" i="1"/>
  <c r="BD71" i="1"/>
  <c r="BE71" i="1"/>
  <c r="BD72" i="1"/>
  <c r="BE72" i="1"/>
  <c r="BD73" i="1"/>
  <c r="BE73" i="1"/>
  <c r="BD74" i="1"/>
  <c r="BE74" i="1"/>
  <c r="BD75" i="1"/>
  <c r="BE75" i="1"/>
  <c r="BD76" i="1"/>
  <c r="BE76" i="1"/>
  <c r="BD77" i="1"/>
  <c r="BE77" i="1"/>
  <c r="BD78" i="1"/>
  <c r="BE78" i="1"/>
  <c r="BD79" i="1"/>
  <c r="BE79" i="1"/>
  <c r="BD80" i="1"/>
  <c r="BE80" i="1"/>
  <c r="BD81" i="1"/>
  <c r="BE81" i="1"/>
  <c r="BD82" i="1"/>
  <c r="BE82" i="1"/>
  <c r="BD83" i="1"/>
  <c r="BE83" i="1"/>
  <c r="BD84" i="1"/>
  <c r="BE84" i="1"/>
  <c r="BD85" i="1"/>
  <c r="BE85" i="1"/>
  <c r="BD86" i="1"/>
  <c r="BE86" i="1"/>
  <c r="BD87" i="1"/>
  <c r="BE87" i="1"/>
  <c r="BD88" i="1"/>
  <c r="BE88" i="1"/>
  <c r="BD89" i="1"/>
  <c r="BE89" i="1"/>
  <c r="BD90" i="1"/>
  <c r="BE90" i="1"/>
  <c r="BD91" i="1"/>
  <c r="BE91" i="1"/>
  <c r="BD92" i="1"/>
  <c r="BE92" i="1"/>
  <c r="BD93" i="1"/>
  <c r="BE93" i="1"/>
  <c r="BD94" i="1"/>
  <c r="BE94" i="1"/>
  <c r="BD95" i="1"/>
  <c r="BE95" i="1"/>
  <c r="BD96" i="1"/>
  <c r="BE96" i="1"/>
  <c r="BD97" i="1"/>
  <c r="BE97" i="1"/>
  <c r="BD98" i="1"/>
  <c r="BE98" i="1"/>
  <c r="BD99" i="1"/>
  <c r="BE99" i="1"/>
  <c r="BD100" i="1"/>
  <c r="BE100" i="1"/>
  <c r="BD101" i="1"/>
  <c r="BE101" i="1"/>
  <c r="BD102" i="1"/>
  <c r="BE102" i="1"/>
  <c r="BD3" i="1"/>
  <c r="BE3" i="1"/>
  <c r="BD4" i="1"/>
  <c r="BE4" i="1"/>
  <c r="BD5" i="1"/>
  <c r="BE5" i="1"/>
  <c r="BD6" i="1"/>
  <c r="BE6" i="1"/>
  <c r="BC3" i="1"/>
  <c r="BC4" i="1"/>
  <c r="BC5" i="1"/>
  <c r="BC6" i="1"/>
  <c r="BC7" i="1"/>
  <c r="BC8" i="1"/>
  <c r="BC9" i="1"/>
  <c r="BC10" i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C34" i="1"/>
  <c r="BC35" i="1"/>
  <c r="BC36" i="1"/>
  <c r="BC37" i="1"/>
  <c r="BC38" i="1"/>
  <c r="BC39" i="1"/>
  <c r="BC40" i="1"/>
  <c r="BC41" i="1"/>
  <c r="BC42" i="1"/>
  <c r="BC43" i="1"/>
  <c r="BC44" i="1"/>
  <c r="BC45" i="1"/>
  <c r="BC46" i="1"/>
  <c r="BC47" i="1"/>
  <c r="BC48" i="1"/>
  <c r="BC49" i="1"/>
  <c r="BC50" i="1"/>
  <c r="BC51" i="1"/>
  <c r="BC52" i="1"/>
  <c r="BC53" i="1"/>
  <c r="BC54" i="1"/>
  <c r="BC55" i="1"/>
  <c r="BC56" i="1"/>
  <c r="BC57" i="1"/>
  <c r="BC58" i="1"/>
  <c r="BC59" i="1"/>
  <c r="BC60" i="1"/>
  <c r="BC61" i="1"/>
  <c r="BC62" i="1"/>
  <c r="BC63" i="1"/>
  <c r="BC64" i="1"/>
  <c r="BC65" i="1"/>
  <c r="BC66" i="1"/>
  <c r="BC67" i="1"/>
  <c r="BC68" i="1"/>
  <c r="BC69" i="1"/>
  <c r="BC70" i="1"/>
  <c r="BC71" i="1"/>
  <c r="BC72" i="1"/>
  <c r="BC73" i="1"/>
  <c r="BC74" i="1"/>
  <c r="BC75" i="1"/>
  <c r="BC76" i="1"/>
  <c r="BC77" i="1"/>
  <c r="BC78" i="1"/>
  <c r="BC79" i="1"/>
  <c r="BC80" i="1"/>
  <c r="BC81" i="1"/>
  <c r="BC82" i="1"/>
  <c r="BC83" i="1"/>
  <c r="BC84" i="1"/>
  <c r="BC85" i="1"/>
  <c r="BC86" i="1"/>
  <c r="BC87" i="1"/>
  <c r="BC88" i="1"/>
  <c r="BC89" i="1"/>
  <c r="BC90" i="1"/>
  <c r="BC91" i="1"/>
  <c r="BC92" i="1"/>
  <c r="BC93" i="1"/>
  <c r="BC94" i="1"/>
  <c r="BC95" i="1"/>
  <c r="BC96" i="1"/>
  <c r="BC97" i="1"/>
  <c r="BC98" i="1"/>
  <c r="BC99" i="1"/>
  <c r="BC100" i="1"/>
  <c r="BC101" i="1"/>
  <c r="BC102" i="1"/>
  <c r="BB3" i="1"/>
  <c r="BB4" i="1"/>
  <c r="BB5" i="1"/>
  <c r="BB6" i="1"/>
  <c r="BB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4" i="1"/>
  <c r="BB75" i="1"/>
  <c r="BB76" i="1"/>
  <c r="BB77" i="1"/>
  <c r="BB78" i="1"/>
  <c r="BB79" i="1"/>
  <c r="BB80" i="1"/>
  <c r="BB81" i="1"/>
  <c r="BB82" i="1"/>
  <c r="BB83" i="1"/>
  <c r="BB84" i="1"/>
  <c r="BB85" i="1"/>
  <c r="BB86" i="1"/>
  <c r="BB87" i="1"/>
  <c r="BB88" i="1"/>
  <c r="BB89" i="1"/>
  <c r="BB90" i="1"/>
  <c r="BB91" i="1"/>
  <c r="BB92" i="1"/>
  <c r="BB93" i="1"/>
  <c r="BB94" i="1"/>
  <c r="BB95" i="1"/>
  <c r="BB96" i="1"/>
  <c r="BB97" i="1"/>
  <c r="BB98" i="1"/>
  <c r="BB99" i="1"/>
  <c r="BB100" i="1"/>
  <c r="BB101" i="1"/>
  <c r="BB102" i="1"/>
  <c r="BA3" i="1"/>
  <c r="BA4" i="1"/>
  <c r="BA5" i="1"/>
  <c r="BA6" i="1"/>
  <c r="BA7" i="1"/>
  <c r="BA8" i="1"/>
  <c r="BA9" i="1"/>
  <c r="BA10" i="1"/>
  <c r="BA11" i="1"/>
  <c r="BA12" i="1"/>
  <c r="BA13" i="1"/>
  <c r="BA14" i="1"/>
  <c r="BA15" i="1"/>
  <c r="BA16" i="1"/>
  <c r="BA17" i="1"/>
  <c r="BA18" i="1"/>
  <c r="BA19" i="1"/>
  <c r="BA20" i="1"/>
  <c r="BA21" i="1"/>
  <c r="BA22" i="1"/>
  <c r="BA23" i="1"/>
  <c r="BA24" i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A41" i="1"/>
  <c r="BA42" i="1"/>
  <c r="BA43" i="1"/>
  <c r="BA44" i="1"/>
  <c r="BA45" i="1"/>
  <c r="BA46" i="1"/>
  <c r="BA47" i="1"/>
  <c r="BA48" i="1"/>
  <c r="BA49" i="1"/>
  <c r="BA50" i="1"/>
  <c r="BA51" i="1"/>
  <c r="BA52" i="1"/>
  <c r="BA53" i="1"/>
  <c r="BA54" i="1"/>
  <c r="BA55" i="1"/>
  <c r="BA56" i="1"/>
  <c r="BA57" i="1"/>
  <c r="BA58" i="1"/>
  <c r="BA59" i="1"/>
  <c r="BA60" i="1"/>
  <c r="BA61" i="1"/>
  <c r="BA62" i="1"/>
  <c r="BA63" i="1"/>
  <c r="BA64" i="1"/>
  <c r="BA65" i="1"/>
  <c r="BA66" i="1"/>
  <c r="BA67" i="1"/>
  <c r="BA68" i="1"/>
  <c r="BA69" i="1"/>
  <c r="BA70" i="1"/>
  <c r="BA71" i="1"/>
  <c r="BA72" i="1"/>
  <c r="BA73" i="1"/>
  <c r="BA74" i="1"/>
  <c r="BA75" i="1"/>
  <c r="BA76" i="1"/>
  <c r="BA77" i="1"/>
  <c r="BA78" i="1"/>
  <c r="BA79" i="1"/>
  <c r="BA80" i="1"/>
  <c r="BA81" i="1"/>
  <c r="BA82" i="1"/>
  <c r="BA83" i="1"/>
  <c r="BA84" i="1"/>
  <c r="BA85" i="1"/>
  <c r="BA86" i="1"/>
  <c r="BA87" i="1"/>
  <c r="BA88" i="1"/>
  <c r="BA89" i="1"/>
  <c r="BA90" i="1"/>
  <c r="BA91" i="1"/>
  <c r="BA92" i="1"/>
  <c r="BA93" i="1"/>
  <c r="BA94" i="1"/>
  <c r="BA95" i="1"/>
  <c r="BA96" i="1"/>
  <c r="BA97" i="1"/>
  <c r="BA98" i="1"/>
  <c r="BA99" i="1"/>
  <c r="BA100" i="1"/>
  <c r="BA101" i="1"/>
  <c r="BA102" i="1"/>
  <c r="BB2" i="1"/>
  <c r="BC2" i="1"/>
  <c r="BD2" i="1"/>
  <c r="BE2" i="1"/>
  <c r="BF2" i="1"/>
  <c r="BG2" i="1"/>
  <c r="BH2" i="1"/>
  <c r="BI2" i="1"/>
  <c r="BK2" i="1"/>
  <c r="BL2" i="1"/>
  <c r="BA2" i="1"/>
  <c r="L61" i="4"/>
  <c r="L62" i="4"/>
  <c r="E61" i="4"/>
  <c r="F61" i="4"/>
  <c r="G61" i="4"/>
  <c r="H61" i="4"/>
  <c r="E62" i="4"/>
  <c r="F62" i="4"/>
  <c r="G62" i="4"/>
  <c r="H62" i="4"/>
  <c r="C61" i="4"/>
  <c r="D61" i="4"/>
  <c r="C62" i="4"/>
  <c r="D62" i="4"/>
  <c r="B61" i="4"/>
  <c r="B62" i="4"/>
  <c r="B57" i="4"/>
  <c r="B58" i="4"/>
  <c r="B59" i="4"/>
  <c r="B60" i="4"/>
  <c r="C57" i="4"/>
  <c r="C58" i="4"/>
  <c r="C59" i="4"/>
  <c r="C60" i="4"/>
  <c r="D57" i="4"/>
  <c r="D58" i="4"/>
  <c r="D59" i="4"/>
  <c r="D60" i="4"/>
  <c r="F57" i="4"/>
  <c r="F58" i="4"/>
  <c r="F59" i="4"/>
  <c r="F60" i="4"/>
  <c r="G57" i="4"/>
  <c r="G58" i="4"/>
  <c r="G59" i="4"/>
  <c r="G60" i="4"/>
  <c r="H57" i="4"/>
  <c r="H58" i="4"/>
  <c r="H59" i="4"/>
  <c r="H60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24" i="4"/>
  <c r="L25" i="4"/>
  <c r="L26" i="4"/>
  <c r="L27" i="4"/>
  <c r="L28" i="4"/>
  <c r="L29" i="4"/>
  <c r="L30" i="4"/>
  <c r="L31" i="4"/>
  <c r="L32" i="4"/>
  <c r="L33" i="4"/>
  <c r="L34" i="4"/>
  <c r="L43" i="4"/>
  <c r="L44" i="4"/>
  <c r="L45" i="4"/>
  <c r="L46" i="4"/>
  <c r="L47" i="4"/>
  <c r="L48" i="4"/>
  <c r="L49" i="4"/>
  <c r="L58" i="4"/>
  <c r="L59" i="4"/>
  <c r="L60" i="4"/>
  <c r="L3" i="4"/>
  <c r="I26" i="12" l="1"/>
  <c r="M10" i="5"/>
  <c r="M18" i="5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H2" i="4"/>
  <c r="G2" i="4"/>
  <c r="F2" i="4"/>
  <c r="E3" i="4"/>
  <c r="E2" i="4"/>
  <c r="D56" i="4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2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2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2" i="4"/>
  <c r="A3" i="4"/>
  <c r="A2" i="4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3" i="3"/>
  <c r="A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3" i="3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O36" i="13" l="1"/>
  <c r="O35" i="13"/>
  <c r="O34" i="13"/>
  <c r="O33" i="13"/>
  <c r="F45" i="13"/>
  <c r="F44" i="13"/>
  <c r="F43" i="13"/>
  <c r="F42" i="13"/>
  <c r="M33" i="13"/>
  <c r="E44" i="13"/>
  <c r="X5" i="13"/>
  <c r="T6" i="13"/>
  <c r="E43" i="13"/>
  <c r="V8" i="13"/>
  <c r="T5" i="13"/>
  <c r="E42" i="13"/>
  <c r="V7" i="13"/>
  <c r="M45" i="13"/>
  <c r="V6" i="13"/>
  <c r="R8" i="13"/>
  <c r="O45" i="13"/>
  <c r="M44" i="13"/>
  <c r="M36" i="13"/>
  <c r="V5" i="13"/>
  <c r="R7" i="13"/>
  <c r="O44" i="13"/>
  <c r="M43" i="13"/>
  <c r="M35" i="13"/>
  <c r="R6" i="13"/>
  <c r="O43" i="13"/>
  <c r="M42" i="13"/>
  <c r="M34" i="13"/>
  <c r="X8" i="13"/>
  <c r="T8" i="13"/>
  <c r="R5" i="13"/>
  <c r="O42" i="13"/>
  <c r="X6" i="13"/>
  <c r="E45" i="13"/>
  <c r="X7" i="13"/>
  <c r="T7" i="13"/>
  <c r="F55" i="13"/>
  <c r="D55" i="13"/>
  <c r="B55" i="13"/>
  <c r="H55" i="13"/>
  <c r="G34" i="13"/>
  <c r="G36" i="13"/>
  <c r="G35" i="13"/>
  <c r="G33" i="13"/>
  <c r="F34" i="13"/>
  <c r="F33" i="13"/>
  <c r="F36" i="13"/>
  <c r="E36" i="13"/>
  <c r="E35" i="13"/>
  <c r="F35" i="13"/>
  <c r="E34" i="13"/>
  <c r="E33" i="13"/>
  <c r="A38" i="4"/>
  <c r="A46" i="4"/>
  <c r="A14" i="4"/>
  <c r="E6" i="13"/>
  <c r="F6" i="13" s="1"/>
  <c r="E5" i="13"/>
  <c r="E7" i="13"/>
  <c r="F7" i="13" s="1"/>
  <c r="E8" i="13"/>
  <c r="F8" i="13" s="1"/>
  <c r="A30" i="4"/>
  <c r="A22" i="4"/>
  <c r="K5" i="13"/>
  <c r="N5" i="13" s="1"/>
  <c r="A8" i="4"/>
  <c r="A54" i="4"/>
  <c r="A8" i="3"/>
  <c r="A7" i="4"/>
  <c r="A53" i="4"/>
  <c r="A45" i="4"/>
  <c r="A37" i="4"/>
  <c r="A29" i="4"/>
  <c r="A21" i="4"/>
  <c r="A6" i="4"/>
  <c r="A52" i="4"/>
  <c r="A44" i="4"/>
  <c r="A36" i="4"/>
  <c r="A28" i="4"/>
  <c r="A20" i="4"/>
  <c r="A58" i="1"/>
  <c r="A58" i="3" s="1"/>
  <c r="A57" i="4"/>
  <c r="A13" i="4"/>
  <c r="A5" i="4"/>
  <c r="A51" i="4"/>
  <c r="A43" i="4"/>
  <c r="A35" i="4"/>
  <c r="A27" i="4"/>
  <c r="A19" i="4"/>
  <c r="A12" i="4"/>
  <c r="A4" i="4"/>
  <c r="A50" i="4"/>
  <c r="A42" i="4"/>
  <c r="A34" i="4"/>
  <c r="A26" i="4"/>
  <c r="A18" i="4"/>
  <c r="K8" i="13"/>
  <c r="N8" i="13" s="1"/>
  <c r="A11" i="4"/>
  <c r="A49" i="4"/>
  <c r="A41" i="4"/>
  <c r="A33" i="4"/>
  <c r="A25" i="4"/>
  <c r="A17" i="4"/>
  <c r="K6" i="13"/>
  <c r="N6" i="13" s="1"/>
  <c r="A10" i="4"/>
  <c r="A56" i="4"/>
  <c r="A48" i="4"/>
  <c r="A40" i="4"/>
  <c r="A32" i="4"/>
  <c r="A24" i="4"/>
  <c r="A16" i="4"/>
  <c r="K7" i="13"/>
  <c r="N7" i="13" s="1"/>
  <c r="A9" i="4"/>
  <c r="A55" i="4"/>
  <c r="A47" i="4"/>
  <c r="A39" i="4"/>
  <c r="A31" i="4"/>
  <c r="A23" i="4"/>
  <c r="A15" i="4"/>
  <c r="L6" i="13"/>
  <c r="L5" i="13"/>
  <c r="L8" i="13"/>
  <c r="L7" i="13"/>
  <c r="O32" i="12"/>
  <c r="P32" i="12"/>
  <c r="P31" i="12"/>
  <c r="O31" i="12"/>
  <c r="M26" i="5"/>
  <c r="A20" i="3"/>
  <c r="A51" i="3"/>
  <c r="A16" i="3"/>
  <c r="A48" i="3"/>
  <c r="A13" i="3"/>
  <c r="A43" i="3"/>
  <c r="A12" i="3"/>
  <c r="A40" i="3"/>
  <c r="A35" i="3"/>
  <c r="A7" i="3"/>
  <c r="A32" i="3"/>
  <c r="A5" i="3"/>
  <c r="A27" i="3"/>
  <c r="A21" i="3"/>
  <c r="A4" i="3"/>
  <c r="A56" i="3"/>
  <c r="A24" i="3"/>
  <c r="A19" i="3"/>
  <c r="A30" i="3"/>
  <c r="A18" i="3"/>
  <c r="A10" i="3"/>
  <c r="A53" i="3"/>
  <c r="A45" i="3"/>
  <c r="A37" i="3"/>
  <c r="A29" i="3"/>
  <c r="A55" i="3"/>
  <c r="A47" i="3"/>
  <c r="A39" i="3"/>
  <c r="A31" i="3"/>
  <c r="A23" i="3"/>
  <c r="A11" i="3"/>
  <c r="A54" i="3"/>
  <c r="A46" i="3"/>
  <c r="A38" i="3"/>
  <c r="A17" i="3"/>
  <c r="A9" i="3"/>
  <c r="A52" i="3"/>
  <c r="A44" i="3"/>
  <c r="A36" i="3"/>
  <c r="A28" i="3"/>
  <c r="A15" i="3"/>
  <c r="A50" i="3"/>
  <c r="A42" i="3"/>
  <c r="A34" i="3"/>
  <c r="A26" i="3"/>
  <c r="A14" i="3"/>
  <c r="A6" i="3"/>
  <c r="A57" i="3"/>
  <c r="A49" i="3"/>
  <c r="A41" i="3"/>
  <c r="A33" i="3"/>
  <c r="A25" i="3"/>
  <c r="A22" i="3"/>
  <c r="O46" i="13" l="1"/>
  <c r="V9" i="13"/>
  <c r="E46" i="13"/>
  <c r="F46" i="13"/>
  <c r="M46" i="13"/>
  <c r="R9" i="13"/>
  <c r="T9" i="13"/>
  <c r="O37" i="13"/>
  <c r="X9" i="13"/>
  <c r="M37" i="13"/>
  <c r="M5" i="13"/>
  <c r="M6" i="13"/>
  <c r="M7" i="13"/>
  <c r="M8" i="13"/>
  <c r="F37" i="13"/>
  <c r="E37" i="13"/>
  <c r="G37" i="13"/>
  <c r="E9" i="13"/>
  <c r="F9" i="13" s="1"/>
  <c r="F5" i="13"/>
  <c r="A59" i="1"/>
  <c r="A58" i="4"/>
  <c r="L9" i="13"/>
  <c r="K9" i="13"/>
  <c r="N9" i="13" s="1"/>
  <c r="M9" i="13" l="1"/>
  <c r="A60" i="1"/>
  <c r="A59" i="4"/>
  <c r="A59" i="3"/>
  <c r="A61" i="1" l="1"/>
  <c r="A60" i="4"/>
  <c r="A60" i="3"/>
  <c r="A62" i="1" l="1"/>
  <c r="A61" i="4"/>
  <c r="A61" i="3"/>
  <c r="A63" i="1" l="1"/>
  <c r="A62" i="4"/>
  <c r="A62" i="3"/>
  <c r="A64" i="1" l="1"/>
  <c r="A63" i="4"/>
  <c r="A63" i="3"/>
  <c r="A65" i="1" l="1"/>
  <c r="A64" i="4"/>
  <c r="A64" i="3"/>
  <c r="A66" i="1" l="1"/>
  <c r="A65" i="4"/>
  <c r="A65" i="3"/>
  <c r="A67" i="1" l="1"/>
  <c r="A66" i="4"/>
  <c r="A66" i="3"/>
  <c r="A68" i="1" l="1"/>
  <c r="A67" i="4"/>
  <c r="A67" i="3"/>
  <c r="A69" i="1" l="1"/>
  <c r="A68" i="4"/>
  <c r="A68" i="3"/>
  <c r="A70" i="1" l="1"/>
  <c r="A69" i="4"/>
  <c r="A69" i="3"/>
  <c r="A71" i="1" l="1"/>
  <c r="A70" i="4"/>
  <c r="A70" i="3"/>
  <c r="A72" i="1" l="1"/>
  <c r="A71" i="4"/>
  <c r="A71" i="3"/>
  <c r="A73" i="1" l="1"/>
  <c r="A72" i="4"/>
  <c r="A72" i="3"/>
  <c r="A74" i="1" l="1"/>
  <c r="A73" i="4"/>
  <c r="A73" i="3"/>
  <c r="A75" i="1" l="1"/>
  <c r="A74" i="4"/>
  <c r="A74" i="3"/>
  <c r="A76" i="1" l="1"/>
  <c r="A75" i="4"/>
  <c r="A75" i="3"/>
  <c r="A77" i="1" l="1"/>
  <c r="A76" i="4"/>
  <c r="A76" i="3"/>
  <c r="A78" i="1" l="1"/>
  <c r="A77" i="4"/>
  <c r="A77" i="3"/>
  <c r="A79" i="1" l="1"/>
  <c r="A78" i="4"/>
  <c r="A78" i="3"/>
  <c r="A80" i="1" l="1"/>
  <c r="A79" i="4"/>
  <c r="A79" i="3"/>
  <c r="A81" i="1" l="1"/>
  <c r="A80" i="4"/>
  <c r="A80" i="3"/>
  <c r="A82" i="1" l="1"/>
  <c r="A81" i="4"/>
  <c r="A81" i="3"/>
  <c r="A83" i="1" l="1"/>
  <c r="A82" i="4"/>
  <c r="A82" i="3"/>
  <c r="A84" i="1" l="1"/>
  <c r="A83" i="4"/>
  <c r="A83" i="3"/>
  <c r="A85" i="1" l="1"/>
  <c r="A84" i="4"/>
  <c r="A84" i="3"/>
  <c r="A86" i="1" l="1"/>
  <c r="A85" i="4"/>
  <c r="A85" i="3"/>
  <c r="A87" i="1" l="1"/>
  <c r="A86" i="4"/>
  <c r="A86" i="3"/>
  <c r="A88" i="1" l="1"/>
  <c r="A87" i="4"/>
  <c r="A87" i="3"/>
  <c r="A89" i="1" l="1"/>
  <c r="A88" i="3"/>
  <c r="A90" i="1" l="1"/>
  <c r="A89" i="3"/>
  <c r="A91" i="1" l="1"/>
  <c r="A90" i="3"/>
  <c r="A92" i="1" l="1"/>
  <c r="A91" i="3"/>
  <c r="A93" i="1" l="1"/>
  <c r="A92" i="3"/>
  <c r="A94" i="1" l="1"/>
  <c r="A93" i="3"/>
  <c r="A95" i="1" l="1"/>
  <c r="A94" i="3"/>
  <c r="A96" i="1" l="1"/>
  <c r="A95" i="3"/>
  <c r="A97" i="1" l="1"/>
  <c r="A96" i="3"/>
  <c r="A98" i="1" l="1"/>
  <c r="A97" i="3"/>
  <c r="A99" i="1" l="1"/>
  <c r="A98" i="3"/>
  <c r="A100" i="1" l="1"/>
  <c r="A99" i="3"/>
  <c r="A101" i="1" l="1"/>
  <c r="A100" i="3"/>
  <c r="A102" i="1" l="1"/>
  <c r="A102" i="3" s="1"/>
  <c r="A101" i="3"/>
</calcChain>
</file>

<file path=xl/sharedStrings.xml><?xml version="1.0" encoding="utf-8"?>
<sst xmlns="http://schemas.openxmlformats.org/spreadsheetml/2006/main" count="6959" uniqueCount="269">
  <si>
    <t>Overall FPO variation</t>
  </si>
  <si>
    <t>CSP/Product wise</t>
  </si>
  <si>
    <t>CSP/Village wise</t>
  </si>
  <si>
    <t>CSP/Product</t>
  </si>
  <si>
    <t>Paddy</t>
  </si>
  <si>
    <t>Maize</t>
  </si>
  <si>
    <t>Brinjal</t>
  </si>
  <si>
    <t>Tomato</t>
  </si>
  <si>
    <t>Total</t>
  </si>
  <si>
    <t>Demand</t>
  </si>
  <si>
    <t>Anita Biswakarma</t>
  </si>
  <si>
    <t>Dupta</t>
  </si>
  <si>
    <t>Harra Tikur</t>
  </si>
  <si>
    <t>Sakri</t>
  </si>
  <si>
    <t xml:space="preserve">Silghiti </t>
  </si>
  <si>
    <t>Dhaniyan Bai</t>
  </si>
  <si>
    <t>Haribati Marabi</t>
  </si>
  <si>
    <t>Nainwati Marawi</t>
  </si>
  <si>
    <t>Actual bought</t>
  </si>
  <si>
    <t>Actual</t>
  </si>
  <si>
    <t>Product wise to see the variation pattern</t>
  </si>
  <si>
    <t>Membership</t>
  </si>
  <si>
    <t>Num of farmers</t>
  </si>
  <si>
    <t>Purchased status</t>
  </si>
  <si>
    <t>No. of farmers</t>
  </si>
  <si>
    <t>Member</t>
  </si>
  <si>
    <t>Non Member</t>
  </si>
  <si>
    <t>Sold</t>
  </si>
  <si>
    <t>% bought</t>
  </si>
  <si>
    <t>Yes</t>
  </si>
  <si>
    <t>Non-member</t>
  </si>
  <si>
    <t>No</t>
  </si>
  <si>
    <t>Farmer</t>
  </si>
  <si>
    <t>Top reasons</t>
  </si>
  <si>
    <t>Anita Bai</t>
  </si>
  <si>
    <t>Name of farmer</t>
  </si>
  <si>
    <t>If No, Mention reason</t>
  </si>
  <si>
    <t>Anita Tekam</t>
  </si>
  <si>
    <t>Basanti Bai</t>
  </si>
  <si>
    <t>Free distribution from Govt</t>
  </si>
  <si>
    <t>Anjana</t>
  </si>
  <si>
    <t>Bhagoti Bai</t>
  </si>
  <si>
    <t>High Cost</t>
  </si>
  <si>
    <t>Bajjo Bai</t>
  </si>
  <si>
    <t>Bhagwati</t>
  </si>
  <si>
    <t>Previous year experience was not good</t>
  </si>
  <si>
    <t>Baro bai</t>
  </si>
  <si>
    <t>Daro Bai</t>
  </si>
  <si>
    <t>Devki Bai</t>
  </si>
  <si>
    <t>Bought from other vendor</t>
  </si>
  <si>
    <t>Foondri</t>
  </si>
  <si>
    <t>Reason for not buying</t>
  </si>
  <si>
    <t>Count of farmers</t>
  </si>
  <si>
    <t>Halki</t>
  </si>
  <si>
    <t>Chandrwati bai</t>
  </si>
  <si>
    <t>Halki Bai</t>
  </si>
  <si>
    <t>Chindo Bai</t>
  </si>
  <si>
    <t>Hariwati Bai</t>
  </si>
  <si>
    <t>Indarwati bai</t>
  </si>
  <si>
    <t>Devanti</t>
  </si>
  <si>
    <t>Jeera Bai</t>
  </si>
  <si>
    <t>Grand Total</t>
  </si>
  <si>
    <t>Laxmi Dhurwey</t>
  </si>
  <si>
    <t>Devki Tekam</t>
  </si>
  <si>
    <t>Meera Bai</t>
  </si>
  <si>
    <t>Dooja Bai</t>
  </si>
  <si>
    <t>Muliya Bai</t>
  </si>
  <si>
    <t xml:space="preserve">Draupati Bai </t>
  </si>
  <si>
    <t>Munni Bai</t>
  </si>
  <si>
    <t>Dukhiya Tekam</t>
  </si>
  <si>
    <t>Nidhi Bhawedi</t>
  </si>
  <si>
    <t>Durga bai</t>
  </si>
  <si>
    <t>Para Bai</t>
  </si>
  <si>
    <t>Durgeshni</t>
  </si>
  <si>
    <t>Phulma</t>
  </si>
  <si>
    <t>Puniya Bai</t>
  </si>
  <si>
    <t>Gilaso bai</t>
  </si>
  <si>
    <t>Radha Bai</t>
  </si>
  <si>
    <t>Gomti</t>
  </si>
  <si>
    <t>Rajkumari Bai</t>
  </si>
  <si>
    <t>Guddi Bai</t>
  </si>
  <si>
    <t>Ramli Bai</t>
  </si>
  <si>
    <t>Rupwati</t>
  </si>
  <si>
    <t>Sharda Bai</t>
  </si>
  <si>
    <t>Indrawati</t>
  </si>
  <si>
    <t xml:space="preserve">Jeera Bai </t>
  </si>
  <si>
    <t>Kalawati</t>
  </si>
  <si>
    <t>Kali Bai</t>
  </si>
  <si>
    <t>Kammo Dhurwey</t>
  </si>
  <si>
    <t>Kapuri bai</t>
  </si>
  <si>
    <t>Kasturiya</t>
  </si>
  <si>
    <t>Laxmi bai</t>
  </si>
  <si>
    <t>Leela bai</t>
  </si>
  <si>
    <t xml:space="preserve">Maliya Bai </t>
  </si>
  <si>
    <t xml:space="preserve">Meera Bai </t>
  </si>
  <si>
    <t>Mindal Bai</t>
  </si>
  <si>
    <t>Nainwati</t>
  </si>
  <si>
    <t>Naniwati bai</t>
  </si>
  <si>
    <t>Panchho bai</t>
  </si>
  <si>
    <t>Phundiya</t>
  </si>
  <si>
    <t>Prembati bai</t>
  </si>
  <si>
    <t>Runiya Bai</t>
  </si>
  <si>
    <t>Rupi Bai</t>
  </si>
  <si>
    <t>Sammal Bai</t>
  </si>
  <si>
    <t>Sandhya Bai</t>
  </si>
  <si>
    <t>Santoshi Bai</t>
  </si>
  <si>
    <t>Saraswati Bai</t>
  </si>
  <si>
    <t>Saroj Bai</t>
  </si>
  <si>
    <t xml:space="preserve">Sashi Bairagi </t>
  </si>
  <si>
    <t>Shevkali</t>
  </si>
  <si>
    <t>Shyam Kumari</t>
  </si>
  <si>
    <t>Sohaniya bai</t>
  </si>
  <si>
    <t>Suhaga</t>
  </si>
  <si>
    <t>Suhana</t>
  </si>
  <si>
    <t>Sukalwati</t>
  </si>
  <si>
    <t>Sumantri</t>
  </si>
  <si>
    <t>Sundariya Tekam</t>
  </si>
  <si>
    <t>Sunita</t>
  </si>
  <si>
    <t>Sushila Bai</t>
  </si>
  <si>
    <t>Sutti Bai</t>
  </si>
  <si>
    <t>Thagiya  Bai</t>
  </si>
  <si>
    <t>Tijan kulaste</t>
  </si>
  <si>
    <t>Titri Bai</t>
  </si>
  <si>
    <t>Usha Tekam</t>
  </si>
  <si>
    <t>Reason for no buy</t>
  </si>
  <si>
    <t>Top 5-10 products where inward demand is x% of total demand</t>
  </si>
  <si>
    <t>(All)</t>
  </si>
  <si>
    <t>x=5,10,15</t>
  </si>
  <si>
    <t>Row Labels</t>
  </si>
  <si>
    <t>Sum of Quantity8</t>
  </si>
  <si>
    <t>Sum of Quantity</t>
  </si>
  <si>
    <t>Farmer Name</t>
  </si>
  <si>
    <t>%sold</t>
  </si>
  <si>
    <t>demand</t>
  </si>
  <si>
    <t xml:space="preserve"> Maize</t>
  </si>
  <si>
    <t>Column Labels</t>
  </si>
  <si>
    <t>(blank)</t>
  </si>
  <si>
    <t>Farmer demand</t>
  </si>
  <si>
    <t>Louki</t>
  </si>
  <si>
    <t>Sum of Quantity10</t>
  </si>
  <si>
    <t>Count of Purchased status</t>
  </si>
  <si>
    <t>Count of If No, Mention reason</t>
  </si>
  <si>
    <t>Village wise selling by CSP</t>
  </si>
  <si>
    <t>Purchase status of farmers</t>
  </si>
  <si>
    <t>Reason for not buying inputs from FPC</t>
  </si>
  <si>
    <t>Tomato sold by CSP</t>
  </si>
  <si>
    <t>Paddy sold by CSP</t>
  </si>
  <si>
    <t>Count of Quantity5</t>
  </si>
  <si>
    <t>CSP Name</t>
  </si>
  <si>
    <t>Brinjal sold by CSP</t>
  </si>
  <si>
    <t>Maize sold by CSP</t>
  </si>
  <si>
    <t>Membership status</t>
  </si>
  <si>
    <t>Financial status of purchase</t>
  </si>
  <si>
    <t>Demand collection &amp; Inputs purchase status of farmers and variation in order placed</t>
  </si>
  <si>
    <t>Village wise: Demand collection &amp; Inputs purchase status of farmers</t>
  </si>
  <si>
    <t>Adavance amount received</t>
  </si>
  <si>
    <t>Remaining amount paid by farmers</t>
  </si>
  <si>
    <t>Total amount paid</t>
  </si>
  <si>
    <t>Placed order</t>
  </si>
  <si>
    <t>Purchase status</t>
  </si>
  <si>
    <t>% of farmers purchased inputs</t>
  </si>
  <si>
    <t>Variation WRT order placed</t>
  </si>
  <si>
    <t>Ordered</t>
  </si>
  <si>
    <t>Bought</t>
  </si>
  <si>
    <t>Total no. of farmers</t>
  </si>
  <si>
    <t>Reason for NO PURCHASE from FPC (No. of farmers denied)</t>
  </si>
  <si>
    <t>Reason for NO DEMAND from Farmers</t>
  </si>
  <si>
    <t>Lack of funds/Credit support</t>
  </si>
  <si>
    <t>Demand was not collected from farmer</t>
  </si>
  <si>
    <t>Not Applicable/bought from FPC</t>
  </si>
  <si>
    <t>Not willing to purchase from FPC</t>
  </si>
  <si>
    <t>High Price</t>
  </si>
  <si>
    <t>Not decided about the crop</t>
  </si>
  <si>
    <t>Not Applicable</t>
  </si>
  <si>
    <t>Paddy: Crop duration wise no. of farmers placed order</t>
  </si>
  <si>
    <t>No. of farmers ordered Paddy</t>
  </si>
  <si>
    <t>Paddy duration</t>
  </si>
  <si>
    <t xml:space="preserve">70 days </t>
  </si>
  <si>
    <t>90 days</t>
  </si>
  <si>
    <t>110 days</t>
  </si>
  <si>
    <t>120 days</t>
  </si>
  <si>
    <t>130 days</t>
  </si>
  <si>
    <t>140 days</t>
  </si>
  <si>
    <t xml:space="preserve">Coomodity wise demand &amp; input sale status </t>
  </si>
  <si>
    <t>No. of farmers Paddy ordered</t>
  </si>
  <si>
    <t>Quantity requirement</t>
  </si>
  <si>
    <t>Actual Paddy bought</t>
  </si>
  <si>
    <t>Quantity sold</t>
  </si>
  <si>
    <t>No. of farmers Brinjal ordered</t>
  </si>
  <si>
    <t>Actual Brinjal bought</t>
  </si>
  <si>
    <t>KG</t>
  </si>
  <si>
    <t>Packets</t>
  </si>
  <si>
    <t>Total quantity required &amp; Bought</t>
  </si>
  <si>
    <t>No. of farmers Maize ordered</t>
  </si>
  <si>
    <t>Actual Maize bought</t>
  </si>
  <si>
    <t>No. of farmers Tomato ordered</t>
  </si>
  <si>
    <t>No. of farmers ordered fertilzer/pesticides/Seed treatment medicine</t>
  </si>
  <si>
    <t>DAP Khad</t>
  </si>
  <si>
    <t>Urea</t>
  </si>
  <si>
    <t>Kitnashak</t>
  </si>
  <si>
    <t>Seed treatment medicine (Culture)</t>
  </si>
  <si>
    <t>Order placed</t>
  </si>
  <si>
    <t>Purchased</t>
  </si>
  <si>
    <t>Fertilizer/Pesticide/Weedicide/Insecticide/Seed treatment medicine details</t>
  </si>
  <si>
    <t>Sl. No</t>
  </si>
  <si>
    <t>CSP name</t>
  </si>
  <si>
    <t>Mob. No</t>
  </si>
  <si>
    <t xml:space="preserve">Membership 
</t>
  </si>
  <si>
    <t>Village name</t>
  </si>
  <si>
    <t>SHG/FIG Name</t>
  </si>
  <si>
    <t>Season</t>
  </si>
  <si>
    <t xml:space="preserve">Placed order
</t>
  </si>
  <si>
    <t>If No Mention reason</t>
  </si>
  <si>
    <t>If yes, Advance payment paid to CSP (INR)</t>
  </si>
  <si>
    <t>If Paddy, Crop Duration</t>
  </si>
  <si>
    <t>Quantity</t>
  </si>
  <si>
    <t>Unit</t>
  </si>
  <si>
    <t>Wheat</t>
  </si>
  <si>
    <t>Variety</t>
  </si>
  <si>
    <t>Barbarti</t>
  </si>
  <si>
    <t>Bhindi</t>
  </si>
  <si>
    <t>Chilli</t>
  </si>
  <si>
    <t>Bitter Gourd Karela</t>
  </si>
  <si>
    <t>Others (Specify Name)</t>
  </si>
  <si>
    <t>Sowing area</t>
  </si>
  <si>
    <t>Expected production (Paddy)</t>
  </si>
  <si>
    <t>Total quantity available to sell to FPC</t>
  </si>
  <si>
    <t>Narayani SHG</t>
  </si>
  <si>
    <t>Kharif</t>
  </si>
  <si>
    <t>N/A</t>
  </si>
  <si>
    <t>Acre</t>
  </si>
  <si>
    <t>Quintal</t>
  </si>
  <si>
    <t>Jwala Tejaswani</t>
  </si>
  <si>
    <t>Jagdamba</t>
  </si>
  <si>
    <t>Durga</t>
  </si>
  <si>
    <t>Jwala</t>
  </si>
  <si>
    <t>Nirmala</t>
  </si>
  <si>
    <t>Narmada</t>
  </si>
  <si>
    <t>Kiran</t>
  </si>
  <si>
    <t>Safed Palash</t>
  </si>
  <si>
    <t>Maa Narmada</t>
  </si>
  <si>
    <t>Chetna Ajeevika</t>
  </si>
  <si>
    <t>Munni bai</t>
  </si>
  <si>
    <t>Om Shanti Ajeevika</t>
  </si>
  <si>
    <t>Mohgaon Women Growers Producers Company Ltd
Fertilizer/Pesticide/Weedicide Demand Capture Sheet</t>
  </si>
  <si>
    <t>Sl.No</t>
  </si>
  <si>
    <t>Product Name-1 
DAP Khad</t>
  </si>
  <si>
    <t>Product Name-2 
Urea</t>
  </si>
  <si>
    <t>Product Name-3 
Kitnashak</t>
  </si>
  <si>
    <t>Packet</t>
  </si>
  <si>
    <t>Duration of paddy</t>
  </si>
  <si>
    <t>Seed treatment medicine</t>
  </si>
  <si>
    <t>Remaining amount paid to CSP</t>
  </si>
  <si>
    <t>Total amount paid to CSP</t>
  </si>
  <si>
    <t>NA</t>
  </si>
  <si>
    <t>Fertilizer</t>
  </si>
  <si>
    <t>√</t>
  </si>
  <si>
    <t>70 days</t>
  </si>
  <si>
    <t>Hectare</t>
  </si>
  <si>
    <t>Pesticide</t>
  </si>
  <si>
    <t>X</t>
  </si>
  <si>
    <t>Decimal</t>
  </si>
  <si>
    <t>Weedicide</t>
  </si>
  <si>
    <t>Other, then specify Unit</t>
  </si>
  <si>
    <t>Insecticide</t>
  </si>
  <si>
    <t>Fungicide</t>
  </si>
  <si>
    <t>Nainbati Marabi</t>
  </si>
  <si>
    <t>FPC Demand Collection-Data Capturesheet
ABC Producers Company Ltd</t>
  </si>
  <si>
    <t>FPC Input Sale- Data Capturesheet
ABC Producers Company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</si>
</sst>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₹-4009]\ * #,##0.00_ ;_ [$₹-4009]\ * \-#,##0.00_ ;_ [$₹-4009]\ * &quot;-&quot;??_ ;_ @_ 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Abadi"/>
      <family val="2"/>
    </font>
    <font>
      <sz val="11"/>
      <color theme="1"/>
      <name val="Calibri"/>
      <family val="2"/>
      <scheme val="minor"/>
    </font>
    <font>
      <sz val="11"/>
      <color theme="1"/>
      <name val="Abadi"/>
      <family val="2"/>
    </font>
    <font>
      <b/>
      <sz val="11"/>
      <color theme="1"/>
      <name val="Abadi"/>
      <family val="2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2"/>
      <name val="Calibri Light"/>
      <family val="2"/>
      <scheme val="major"/>
    </font>
  </fonts>
  <fills count="1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9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1" xfId="0" applyFont="1" applyBorder="1" applyAlignment="1">
      <alignment vertical="top"/>
    </xf>
    <xf numFmtId="0" fontId="5" fillId="3" borderId="1" xfId="0" applyFont="1" applyFill="1" applyBorder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2" fillId="3" borderId="0" xfId="0" applyFont="1" applyFill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vertical="top"/>
    </xf>
    <xf numFmtId="0" fontId="1" fillId="4" borderId="1" xfId="0" applyFont="1" applyFill="1" applyBorder="1" applyAlignment="1">
      <alignment horizontal="center" vertical="top" wrapText="1"/>
    </xf>
    <xf numFmtId="0" fontId="8" fillId="5" borderId="1" xfId="0" applyFont="1" applyFill="1" applyBorder="1" applyAlignment="1">
      <alignment horizontal="center" vertical="top" wrapText="1"/>
    </xf>
    <xf numFmtId="0" fontId="8" fillId="5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vertical="top"/>
    </xf>
    <xf numFmtId="0" fontId="1" fillId="6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vertical="top"/>
    </xf>
    <xf numFmtId="0" fontId="0" fillId="0" borderId="0" xfId="0" pivotButton="1"/>
    <xf numFmtId="0" fontId="0" fillId="0" borderId="0" xfId="0" applyAlignment="1">
      <alignment horizontal="left"/>
    </xf>
    <xf numFmtId="0" fontId="9" fillId="0" borderId="0" xfId="0" applyFont="1"/>
    <xf numFmtId="0" fontId="9" fillId="0" borderId="0" xfId="0" pivotButton="1" applyFont="1"/>
    <xf numFmtId="0" fontId="9" fillId="0" borderId="0" xfId="0" applyFont="1" applyAlignment="1">
      <alignment horizontal="left"/>
    </xf>
    <xf numFmtId="0" fontId="9" fillId="0" borderId="1" xfId="0" applyFont="1" applyBorder="1"/>
    <xf numFmtId="0" fontId="9" fillId="0" borderId="1" xfId="0" applyFont="1" applyBorder="1" applyAlignment="1">
      <alignment horizontal="left"/>
    </xf>
    <xf numFmtId="9" fontId="9" fillId="0" borderId="1" xfId="1" applyFont="1" applyBorder="1"/>
    <xf numFmtId="9" fontId="9" fillId="8" borderId="1" xfId="1" applyFont="1" applyFill="1" applyBorder="1"/>
    <xf numFmtId="0" fontId="0" fillId="0" borderId="1" xfId="0" applyBorder="1"/>
    <xf numFmtId="9" fontId="9" fillId="0" borderId="7" xfId="1" applyFont="1" applyBorder="1"/>
    <xf numFmtId="9" fontId="9" fillId="0" borderId="8" xfId="1" applyFont="1" applyBorder="1"/>
    <xf numFmtId="9" fontId="9" fillId="0" borderId="9" xfId="1" applyFont="1" applyBorder="1"/>
    <xf numFmtId="9" fontId="9" fillId="8" borderId="0" xfId="1" applyFont="1" applyFill="1"/>
    <xf numFmtId="9" fontId="9" fillId="0" borderId="10" xfId="1" applyFont="1" applyBorder="1"/>
    <xf numFmtId="9" fontId="9" fillId="0" borderId="11" xfId="1" applyFont="1" applyBorder="1"/>
    <xf numFmtId="9" fontId="9" fillId="0" borderId="12" xfId="1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9" xfId="0" applyFont="1" applyBorder="1"/>
    <xf numFmtId="0" fontId="11" fillId="0" borderId="0" xfId="0" pivotButton="1" applyFont="1"/>
    <xf numFmtId="0" fontId="11" fillId="0" borderId="0" xfId="0" applyFont="1"/>
    <xf numFmtId="0" fontId="11" fillId="0" borderId="0" xfId="0" applyFont="1" applyAlignment="1">
      <alignment horizontal="left"/>
    </xf>
    <xf numFmtId="9" fontId="11" fillId="0" borderId="0" xfId="1" applyFont="1"/>
    <xf numFmtId="0" fontId="11" fillId="0" borderId="0" xfId="0" applyFont="1" applyAlignment="1">
      <alignment horizontal="center"/>
    </xf>
    <xf numFmtId="0" fontId="12" fillId="7" borderId="4" xfId="0" applyFont="1" applyFill="1" applyBorder="1"/>
    <xf numFmtId="0" fontId="12" fillId="0" borderId="4" xfId="0" applyFont="1" applyBorder="1"/>
    <xf numFmtId="0" fontId="7" fillId="0" borderId="0" xfId="0" applyFont="1"/>
    <xf numFmtId="0" fontId="11" fillId="0" borderId="1" xfId="0" applyFont="1" applyBorder="1"/>
    <xf numFmtId="9" fontId="11" fillId="0" borderId="7" xfId="1" applyFont="1" applyBorder="1"/>
    <xf numFmtId="9" fontId="11" fillId="0" borderId="8" xfId="1" applyFont="1" applyBorder="1"/>
    <xf numFmtId="9" fontId="11" fillId="0" borderId="9" xfId="1" applyFont="1" applyBorder="1"/>
    <xf numFmtId="0" fontId="11" fillId="0" borderId="1" xfId="0" applyFont="1" applyBorder="1" applyAlignment="1">
      <alignment horizontal="left"/>
    </xf>
    <xf numFmtId="0" fontId="11" fillId="0" borderId="7" xfId="0" applyFont="1" applyBorder="1"/>
    <xf numFmtId="0" fontId="11" fillId="0" borderId="8" xfId="0" applyFont="1" applyBorder="1"/>
    <xf numFmtId="0" fontId="11" fillId="0" borderId="9" xfId="0" applyFont="1" applyBorder="1"/>
    <xf numFmtId="9" fontId="11" fillId="0" borderId="1" xfId="1" applyFont="1" applyBorder="1"/>
    <xf numFmtId="9" fontId="11" fillId="8" borderId="1" xfId="1" applyFont="1" applyFill="1" applyBorder="1"/>
    <xf numFmtId="9" fontId="11" fillId="0" borderId="1" xfId="0" applyNumberFormat="1" applyFont="1" applyBorder="1"/>
    <xf numFmtId="0" fontId="11" fillId="0" borderId="0" xfId="0" applyFont="1" applyAlignment="1">
      <alignment wrapText="1"/>
    </xf>
    <xf numFmtId="0" fontId="12" fillId="7" borderId="5" xfId="0" applyFont="1" applyFill="1" applyBorder="1" applyAlignment="1">
      <alignment horizontal="left"/>
    </xf>
    <xf numFmtId="0" fontId="12" fillId="7" borderId="5" xfId="0" applyFont="1" applyFill="1" applyBorder="1"/>
    <xf numFmtId="9" fontId="11" fillId="8" borderId="9" xfId="0" applyNumberFormat="1" applyFont="1" applyFill="1" applyBorder="1"/>
    <xf numFmtId="0" fontId="11" fillId="0" borderId="6" xfId="0" applyFont="1" applyBorder="1"/>
    <xf numFmtId="0" fontId="11" fillId="8" borderId="0" xfId="0" applyFont="1" applyFill="1"/>
    <xf numFmtId="0" fontId="11" fillId="0" borderId="1" xfId="0" applyFont="1" applyBorder="1" applyAlignment="1">
      <alignment horizontal="center"/>
    </xf>
    <xf numFmtId="0" fontId="11" fillId="8" borderId="1" xfId="0" applyFont="1" applyFill="1" applyBorder="1" applyAlignment="1">
      <alignment horizontal="center" vertical="top" wrapText="1"/>
    </xf>
    <xf numFmtId="0" fontId="11" fillId="8" borderId="1" xfId="0" applyFont="1" applyFill="1" applyBorder="1" applyAlignment="1">
      <alignment horizontal="center"/>
    </xf>
    <xf numFmtId="0" fontId="1" fillId="0" borderId="0" xfId="0" pivotButton="1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vertical="top"/>
    </xf>
    <xf numFmtId="0" fontId="2" fillId="9" borderId="1" xfId="0" applyFont="1" applyFill="1" applyBorder="1" applyAlignment="1">
      <alignment horizontal="center" vertical="top"/>
    </xf>
    <xf numFmtId="9" fontId="1" fillId="0" borderId="1" xfId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0" fontId="2" fillId="11" borderId="16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2" fillId="3" borderId="0" xfId="0" applyFont="1" applyFill="1" applyAlignment="1">
      <alignment vertical="top"/>
    </xf>
    <xf numFmtId="0" fontId="0" fillId="3" borderId="0" xfId="0" applyFill="1"/>
    <xf numFmtId="0" fontId="1" fillId="3" borderId="0" xfId="0" applyFont="1" applyFill="1" applyAlignment="1">
      <alignment horizontal="center" vertical="top"/>
    </xf>
    <xf numFmtId="0" fontId="14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11" borderId="1" xfId="0" applyFont="1" applyFill="1" applyBorder="1" applyAlignment="1">
      <alignment horizontal="center" vertical="top"/>
    </xf>
    <xf numFmtId="0" fontId="2" fillId="12" borderId="1" xfId="0" applyFont="1" applyFill="1" applyBorder="1" applyAlignment="1">
      <alignment horizontal="center" vertical="top" wrapText="1"/>
    </xf>
    <xf numFmtId="0" fontId="2" fillId="11" borderId="1" xfId="0" applyFont="1" applyFill="1" applyBorder="1" applyAlignment="1">
      <alignment horizontal="center" vertical="top" wrapText="1"/>
    </xf>
    <xf numFmtId="0" fontId="13" fillId="0" borderId="21" xfId="0" applyFont="1" applyBorder="1" applyAlignment="1">
      <alignment horizontal="center" vertical="top" wrapText="1"/>
    </xf>
    <xf numFmtId="164" fontId="1" fillId="0" borderId="22" xfId="0" applyNumberFormat="1" applyFont="1" applyBorder="1" applyAlignment="1">
      <alignment horizontal="center" vertical="top"/>
    </xf>
    <xf numFmtId="0" fontId="14" fillId="0" borderId="23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/>
    </xf>
    <xf numFmtId="164" fontId="2" fillId="0" borderId="24" xfId="0" applyNumberFormat="1" applyFont="1" applyBorder="1" applyAlignment="1">
      <alignment horizontal="center" vertical="top"/>
    </xf>
    <xf numFmtId="164" fontId="2" fillId="0" borderId="25" xfId="0" applyNumberFormat="1" applyFont="1" applyBorder="1" applyAlignment="1">
      <alignment horizontal="center" vertical="top"/>
    </xf>
    <xf numFmtId="9" fontId="1" fillId="0" borderId="22" xfId="1" applyFont="1" applyBorder="1" applyAlignment="1">
      <alignment horizontal="center" vertical="top"/>
    </xf>
    <xf numFmtId="9" fontId="2" fillId="0" borderId="24" xfId="1" applyFont="1" applyBorder="1" applyAlignment="1">
      <alignment horizontal="center" vertical="top"/>
    </xf>
    <xf numFmtId="9" fontId="1" fillId="0" borderId="25" xfId="1" applyFont="1" applyBorder="1" applyAlignment="1">
      <alignment horizontal="center" vertical="top"/>
    </xf>
    <xf numFmtId="0" fontId="2" fillId="11" borderId="22" xfId="0" applyFont="1" applyFill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5" fillId="0" borderId="23" xfId="0" applyFont="1" applyBorder="1" applyAlignment="1">
      <alignment horizontal="center" vertical="top" wrapText="1"/>
    </xf>
    <xf numFmtId="0" fontId="2" fillId="11" borderId="24" xfId="0" applyFont="1" applyFill="1" applyBorder="1" applyAlignment="1">
      <alignment horizontal="center"/>
    </xf>
    <xf numFmtId="0" fontId="2" fillId="11" borderId="25" xfId="0" applyFont="1" applyFill="1" applyBorder="1" applyAlignment="1">
      <alignment horizontal="center"/>
    </xf>
    <xf numFmtId="0" fontId="2" fillId="11" borderId="30" xfId="0" applyFont="1" applyFill="1" applyBorder="1" applyAlignment="1">
      <alignment vertical="top" wrapText="1"/>
    </xf>
    <xf numFmtId="0" fontId="2" fillId="0" borderId="22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/>
    </xf>
    <xf numFmtId="0" fontId="7" fillId="0" borderId="25" xfId="0" applyFont="1" applyBorder="1" applyAlignment="1">
      <alignment horizontal="center" vertical="top"/>
    </xf>
    <xf numFmtId="0" fontId="13" fillId="0" borderId="31" xfId="0" applyFont="1" applyBorder="1" applyAlignment="1">
      <alignment horizontal="center" vertical="top" wrapText="1"/>
    </xf>
    <xf numFmtId="0" fontId="1" fillId="0" borderId="33" xfId="0" applyFont="1" applyBorder="1" applyAlignment="1">
      <alignment horizontal="center" vertical="top"/>
    </xf>
    <xf numFmtId="0" fontId="2" fillId="0" borderId="25" xfId="0" applyFont="1" applyBorder="1" applyAlignment="1">
      <alignment horizontal="center" vertical="top"/>
    </xf>
    <xf numFmtId="0" fontId="2" fillId="12" borderId="22" xfId="0" applyFont="1" applyFill="1" applyBorder="1" applyAlignment="1">
      <alignment horizontal="center" vertical="top" wrapText="1"/>
    </xf>
    <xf numFmtId="0" fontId="2" fillId="11" borderId="24" xfId="0" applyFont="1" applyFill="1" applyBorder="1" applyAlignment="1">
      <alignment horizontal="center" vertical="top"/>
    </xf>
    <xf numFmtId="0" fontId="2" fillId="12" borderId="24" xfId="0" applyFont="1" applyFill="1" applyBorder="1" applyAlignment="1">
      <alignment horizontal="center" vertical="top"/>
    </xf>
    <xf numFmtId="0" fontId="2" fillId="12" borderId="25" xfId="0" applyFont="1" applyFill="1" applyBorder="1" applyAlignment="1">
      <alignment horizontal="center" vertical="top"/>
    </xf>
    <xf numFmtId="0" fontId="2" fillId="0" borderId="22" xfId="0" applyFont="1" applyBorder="1" applyAlignment="1">
      <alignment horizontal="center" vertical="top"/>
    </xf>
    <xf numFmtId="0" fontId="2" fillId="11" borderId="25" xfId="0" applyFont="1" applyFill="1" applyBorder="1" applyAlignment="1">
      <alignment horizontal="center" vertical="top"/>
    </xf>
    <xf numFmtId="0" fontId="1" fillId="0" borderId="22" xfId="0" applyFont="1" applyBorder="1" applyAlignment="1">
      <alignment horizontal="center" vertical="top" wrapText="1"/>
    </xf>
    <xf numFmtId="164" fontId="2" fillId="0" borderId="0" xfId="0" applyNumberFormat="1" applyFont="1" applyAlignment="1">
      <alignment horizontal="center" vertical="top"/>
    </xf>
    <xf numFmtId="9" fontId="2" fillId="0" borderId="0" xfId="1" applyFont="1" applyBorder="1" applyAlignment="1">
      <alignment horizontal="center" vertical="top"/>
    </xf>
    <xf numFmtId="9" fontId="1" fillId="0" borderId="0" xfId="1" applyFont="1" applyBorder="1" applyAlignment="1">
      <alignment horizontal="center" vertical="top"/>
    </xf>
    <xf numFmtId="0" fontId="11" fillId="8" borderId="7" xfId="0" applyFont="1" applyFill="1" applyBorder="1" applyAlignment="1">
      <alignment horizontal="center"/>
    </xf>
    <xf numFmtId="0" fontId="11" fillId="8" borderId="8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22" xfId="0" applyFont="1" applyBorder="1" applyAlignment="1">
      <alignment horizontal="center" vertical="top"/>
    </xf>
    <xf numFmtId="0" fontId="7" fillId="12" borderId="29" xfId="0" applyFont="1" applyFill="1" applyBorder="1" applyAlignment="1">
      <alignment horizontal="center" vertical="top"/>
    </xf>
    <xf numFmtId="0" fontId="7" fillId="12" borderId="19" xfId="0" applyFont="1" applyFill="1" applyBorder="1" applyAlignment="1">
      <alignment horizontal="center" vertical="top"/>
    </xf>
    <xf numFmtId="0" fontId="7" fillId="12" borderId="20" xfId="0" applyFont="1" applyFill="1" applyBorder="1" applyAlignment="1">
      <alignment horizontal="center" vertical="top"/>
    </xf>
    <xf numFmtId="0" fontId="4" fillId="14" borderId="29" xfId="0" applyFont="1" applyFill="1" applyBorder="1" applyAlignment="1">
      <alignment horizontal="center"/>
    </xf>
    <xf numFmtId="0" fontId="4" fillId="14" borderId="19" xfId="0" applyFont="1" applyFill="1" applyBorder="1" applyAlignment="1">
      <alignment horizontal="center"/>
    </xf>
    <xf numFmtId="0" fontId="4" fillId="14" borderId="20" xfId="0" applyFont="1" applyFill="1" applyBorder="1" applyAlignment="1">
      <alignment horizontal="center"/>
    </xf>
    <xf numFmtId="0" fontId="4" fillId="13" borderId="29" xfId="0" applyFont="1" applyFill="1" applyBorder="1" applyAlignment="1">
      <alignment horizontal="center"/>
    </xf>
    <xf numFmtId="0" fontId="4" fillId="13" borderId="19" xfId="0" applyFont="1" applyFill="1" applyBorder="1" applyAlignment="1">
      <alignment horizontal="center"/>
    </xf>
    <xf numFmtId="0" fontId="4" fillId="13" borderId="20" xfId="0" applyFont="1" applyFill="1" applyBorder="1" applyAlignment="1">
      <alignment horizontal="center"/>
    </xf>
    <xf numFmtId="0" fontId="2" fillId="11" borderId="14" xfId="0" applyFont="1" applyFill="1" applyBorder="1" applyAlignment="1">
      <alignment horizontal="center" vertical="top" wrapText="1"/>
    </xf>
    <xf numFmtId="0" fontId="2" fillId="11" borderId="15" xfId="0" applyFont="1" applyFill="1" applyBorder="1" applyAlignment="1">
      <alignment horizontal="center" vertical="top" wrapText="1"/>
    </xf>
    <xf numFmtId="0" fontId="2" fillId="11" borderId="1" xfId="0" applyFont="1" applyFill="1" applyBorder="1" applyAlignment="1">
      <alignment horizontal="center" vertical="top" wrapText="1"/>
    </xf>
    <xf numFmtId="0" fontId="2" fillId="12" borderId="1" xfId="0" applyFont="1" applyFill="1" applyBorder="1" applyAlignment="1">
      <alignment horizontal="center" vertical="top" wrapText="1"/>
    </xf>
    <xf numFmtId="0" fontId="2" fillId="12" borderId="1" xfId="0" applyFont="1" applyFill="1" applyBorder="1" applyAlignment="1">
      <alignment horizontal="center" vertical="top"/>
    </xf>
    <xf numFmtId="0" fontId="2" fillId="12" borderId="22" xfId="0" applyFont="1" applyFill="1" applyBorder="1" applyAlignment="1">
      <alignment horizontal="center" vertical="top"/>
    </xf>
    <xf numFmtId="0" fontId="7" fillId="10" borderId="26" xfId="0" applyFont="1" applyFill="1" applyBorder="1" applyAlignment="1">
      <alignment horizontal="center" vertical="top"/>
    </xf>
    <xf numFmtId="0" fontId="7" fillId="10" borderId="27" xfId="0" applyFont="1" applyFill="1" applyBorder="1" applyAlignment="1">
      <alignment horizontal="center" vertical="top"/>
    </xf>
    <xf numFmtId="0" fontId="7" fillId="10" borderId="28" xfId="0" applyFont="1" applyFill="1" applyBorder="1" applyAlignment="1">
      <alignment horizontal="center" vertical="top"/>
    </xf>
    <xf numFmtId="0" fontId="7" fillId="12" borderId="29" xfId="0" applyFont="1" applyFill="1" applyBorder="1" applyAlignment="1">
      <alignment horizontal="center"/>
    </xf>
    <xf numFmtId="0" fontId="7" fillId="12" borderId="19" xfId="0" applyFont="1" applyFill="1" applyBorder="1" applyAlignment="1">
      <alignment horizontal="center"/>
    </xf>
    <xf numFmtId="0" fontId="7" fillId="12" borderId="20" xfId="0" applyFont="1" applyFill="1" applyBorder="1" applyAlignment="1">
      <alignment horizontal="center"/>
    </xf>
    <xf numFmtId="0" fontId="16" fillId="0" borderId="35" xfId="0" applyFont="1" applyBorder="1" applyAlignment="1">
      <alignment horizontal="center" vertical="top" wrapText="1"/>
    </xf>
    <xf numFmtId="0" fontId="16" fillId="0" borderId="36" xfId="0" applyFont="1" applyBorder="1" applyAlignment="1">
      <alignment horizontal="center" vertical="top" wrapText="1"/>
    </xf>
    <xf numFmtId="0" fontId="16" fillId="0" borderId="37" xfId="0" applyFont="1" applyBorder="1" applyAlignment="1">
      <alignment horizontal="center" vertical="top" wrapText="1"/>
    </xf>
    <xf numFmtId="0" fontId="4" fillId="13" borderId="31" xfId="0" applyFont="1" applyFill="1" applyBorder="1" applyAlignment="1">
      <alignment horizontal="center"/>
    </xf>
    <xf numFmtId="0" fontId="4" fillId="13" borderId="15" xfId="0" applyFont="1" applyFill="1" applyBorder="1" applyAlignment="1">
      <alignment horizontal="center"/>
    </xf>
    <xf numFmtId="0" fontId="4" fillId="13" borderId="34" xfId="0" applyFont="1" applyFill="1" applyBorder="1" applyAlignment="1">
      <alignment horizontal="center"/>
    </xf>
    <xf numFmtId="0" fontId="2" fillId="11" borderId="21" xfId="0" applyFont="1" applyFill="1" applyBorder="1" applyAlignment="1">
      <alignment horizontal="center" vertical="top"/>
    </xf>
    <xf numFmtId="0" fontId="2" fillId="11" borderId="13" xfId="0" applyFont="1" applyFill="1" applyBorder="1" applyAlignment="1">
      <alignment horizontal="center" vertical="top"/>
    </xf>
    <xf numFmtId="0" fontId="2" fillId="11" borderId="16" xfId="0" applyFont="1" applyFill="1" applyBorder="1" applyAlignment="1">
      <alignment horizontal="center" vertical="top"/>
    </xf>
    <xf numFmtId="0" fontId="2" fillId="11" borderId="32" xfId="0" applyFont="1" applyFill="1" applyBorder="1" applyAlignment="1">
      <alignment horizontal="center" vertical="top"/>
    </xf>
    <xf numFmtId="0" fontId="2" fillId="0" borderId="22" xfId="0" applyFont="1" applyBorder="1" applyAlignment="1">
      <alignment horizontal="center" vertical="top" wrapText="1"/>
    </xf>
    <xf numFmtId="0" fontId="2" fillId="11" borderId="1" xfId="0" applyFont="1" applyFill="1" applyBorder="1" applyAlignment="1">
      <alignment horizontal="center" vertical="top"/>
    </xf>
    <xf numFmtId="0" fontId="2" fillId="12" borderId="13" xfId="0" applyFont="1" applyFill="1" applyBorder="1" applyAlignment="1">
      <alignment horizontal="center" vertical="top"/>
    </xf>
    <xf numFmtId="0" fontId="2" fillId="12" borderId="32" xfId="0" applyFont="1" applyFill="1" applyBorder="1" applyAlignment="1">
      <alignment horizontal="center" vertical="top"/>
    </xf>
    <xf numFmtId="0" fontId="2" fillId="11" borderId="19" xfId="0" applyFont="1" applyFill="1" applyBorder="1" applyAlignment="1">
      <alignment horizontal="center"/>
    </xf>
    <xf numFmtId="0" fontId="2" fillId="11" borderId="20" xfId="0" applyFont="1" applyFill="1" applyBorder="1" applyAlignment="1">
      <alignment horizontal="center"/>
    </xf>
    <xf numFmtId="0" fontId="2" fillId="11" borderId="30" xfId="0" applyFont="1" applyFill="1" applyBorder="1" applyAlignment="1">
      <alignment horizontal="center" vertical="top" wrapText="1"/>
    </xf>
    <xf numFmtId="0" fontId="2" fillId="11" borderId="31" xfId="0" applyFont="1" applyFill="1" applyBorder="1" applyAlignment="1">
      <alignment horizontal="center" vertical="top" wrapText="1"/>
    </xf>
    <xf numFmtId="0" fontId="2" fillId="11" borderId="1" xfId="0" applyFont="1" applyFill="1" applyBorder="1" applyAlignment="1">
      <alignment horizontal="center" vertical="center" wrapText="1"/>
    </xf>
    <xf numFmtId="0" fontId="2" fillId="11" borderId="22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top"/>
    </xf>
    <xf numFmtId="0" fontId="7" fillId="10" borderId="17" xfId="0" applyFont="1" applyFill="1" applyBorder="1" applyAlignment="1">
      <alignment horizontal="center" vertical="top"/>
    </xf>
    <xf numFmtId="0" fontId="7" fillId="10" borderId="18" xfId="0" applyFont="1" applyFill="1" applyBorder="1" applyAlignment="1">
      <alignment horizontal="center" vertical="top"/>
    </xf>
    <xf numFmtId="0" fontId="7" fillId="12" borderId="26" xfId="0" applyFont="1" applyFill="1" applyBorder="1" applyAlignment="1">
      <alignment horizontal="center"/>
    </xf>
    <xf numFmtId="0" fontId="7" fillId="12" borderId="27" xfId="0" applyFont="1" applyFill="1" applyBorder="1" applyAlignment="1">
      <alignment horizontal="center"/>
    </xf>
    <xf numFmtId="0" fontId="7" fillId="12" borderId="28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474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alignment vertical="top"/>
    </dxf>
    <dxf>
      <font>
        <sz val="10"/>
      </font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badi"/>
        <scheme val="none"/>
      </font>
    </dxf>
    <dxf>
      <font>
        <name val="Abadi"/>
        <scheme val="none"/>
      </font>
    </dxf>
    <dxf>
      <font>
        <name val="Abadi"/>
        <scheme val="none"/>
      </font>
    </dxf>
    <dxf>
      <font>
        <name val="Abadi"/>
        <scheme val="none"/>
      </font>
    </dxf>
    <dxf>
      <font>
        <name val="Abadi"/>
        <scheme val="none"/>
      </font>
    </dxf>
    <dxf>
      <font>
        <name val="Abadi"/>
        <scheme val="none"/>
      </font>
    </dxf>
    <dxf>
      <font>
        <name val="Abadi"/>
        <scheme val="none"/>
      </font>
    </dxf>
    <dxf>
      <font>
        <name val="Abadi"/>
        <scheme val="none"/>
      </font>
    </dxf>
    <dxf>
      <font>
        <name val="Abadi"/>
        <scheme val="none"/>
      </font>
    </dxf>
    <dxf>
      <font>
        <name val="Abadi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badi"/>
        <scheme val="none"/>
      </font>
    </dxf>
    <dxf>
      <font>
        <name val="Abadi"/>
        <scheme val="none"/>
      </font>
    </dxf>
    <dxf>
      <font>
        <name val="Abadi"/>
        <scheme val="none"/>
      </font>
    </dxf>
    <dxf>
      <font>
        <name val="Abadi"/>
        <scheme val="none"/>
      </font>
    </dxf>
    <dxf>
      <font>
        <name val="Abadi"/>
        <scheme val="none"/>
      </font>
    </dxf>
    <dxf>
      <font>
        <name val="Abadi"/>
        <scheme val="none"/>
      </font>
    </dxf>
    <dxf>
      <font>
        <name val="Abadi"/>
        <scheme val="none"/>
      </font>
    </dxf>
    <dxf>
      <font>
        <name val="Abadi"/>
        <scheme val="none"/>
      </font>
    </dxf>
    <dxf>
      <font>
        <name val="Abadi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badi"/>
        <scheme val="none"/>
      </font>
    </dxf>
    <dxf>
      <font>
        <name val="Abadi"/>
        <scheme val="none"/>
      </font>
    </dxf>
    <dxf>
      <font>
        <name val="Abadi"/>
        <scheme val="none"/>
      </font>
    </dxf>
    <dxf>
      <font>
        <name val="Abadi"/>
        <scheme val="none"/>
      </font>
    </dxf>
    <dxf>
      <font>
        <name val="Abadi"/>
        <scheme val="none"/>
      </font>
    </dxf>
    <dxf>
      <font>
        <name val="Abadi"/>
        <scheme val="none"/>
      </font>
    </dxf>
    <dxf>
      <font>
        <name val="Abadi"/>
        <scheme val="none"/>
      </font>
    </dxf>
    <dxf>
      <font>
        <name val="Abadi"/>
        <scheme val="none"/>
      </font>
    </dxf>
    <dxf>
      <font>
        <name val="Abadi"/>
        <scheme val="none"/>
      </font>
    </dxf>
    <dxf>
      <font>
        <name val="Abadi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badi"/>
        <scheme val="none"/>
      </font>
    </dxf>
    <dxf>
      <font>
        <name val="Abadi"/>
        <scheme val="none"/>
      </font>
    </dxf>
    <dxf>
      <font>
        <name val="Abadi"/>
        <scheme val="none"/>
      </font>
    </dxf>
    <dxf>
      <font>
        <name val="Abadi"/>
        <scheme val="none"/>
      </font>
    </dxf>
    <dxf>
      <font>
        <name val="Abadi"/>
        <scheme val="none"/>
      </font>
    </dxf>
    <dxf>
      <font>
        <name val="Abadi"/>
        <scheme val="none"/>
      </font>
    </dxf>
    <dxf>
      <font>
        <name val="Abadi"/>
        <scheme val="none"/>
      </font>
    </dxf>
    <dxf>
      <font>
        <name val="Abadi"/>
        <scheme val="none"/>
      </font>
    </dxf>
    <dxf>
      <font>
        <name val="Abadi"/>
        <scheme val="none"/>
      </font>
    </dxf>
    <dxf>
      <font>
        <name val="Abadi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badi"/>
        <scheme val="none"/>
      </font>
    </dxf>
    <dxf>
      <font>
        <name val="Abadi"/>
        <scheme val="none"/>
      </font>
    </dxf>
    <dxf>
      <font>
        <name val="Abadi"/>
        <scheme val="none"/>
      </font>
    </dxf>
    <dxf>
      <font>
        <name val="Abadi"/>
        <scheme val="none"/>
      </font>
    </dxf>
    <dxf>
      <font>
        <name val="Abadi"/>
        <scheme val="none"/>
      </font>
    </dxf>
    <dxf>
      <font>
        <name val="Abadi"/>
        <scheme val="none"/>
      </font>
    </dxf>
    <dxf>
      <font>
        <name val="Abadi"/>
        <scheme val="none"/>
      </font>
    </dxf>
    <dxf>
      <font>
        <name val="Abadi"/>
        <scheme val="none"/>
      </font>
    </dxf>
    <dxf>
      <font>
        <name val="Abadi"/>
        <scheme val="none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name val="Abadi"/>
        <scheme val="none"/>
      </font>
    </dxf>
    <dxf>
      <font>
        <name val="Abadi"/>
        <scheme val="none"/>
      </font>
    </dxf>
    <dxf>
      <font>
        <name val="Abadi"/>
        <scheme val="none"/>
      </font>
    </dxf>
    <dxf>
      <font>
        <name val="Abadi"/>
        <scheme val="none"/>
      </font>
    </dxf>
    <dxf>
      <font>
        <name val="Abadi"/>
        <scheme val="none"/>
      </font>
    </dxf>
    <dxf>
      <font>
        <name val="Abadi"/>
        <scheme val="none"/>
      </font>
    </dxf>
    <dxf>
      <font>
        <name val="Abadi"/>
        <scheme val="none"/>
      </font>
    </dxf>
    <dxf>
      <font>
        <name val="Abadi"/>
        <scheme val="none"/>
      </font>
    </dxf>
    <dxf>
      <font>
        <name val="Abadi"/>
        <scheme val="none"/>
      </font>
    </dxf>
    <dxf>
      <font>
        <name val="Abadi"/>
        <scheme val="none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name val="Abadi"/>
        <scheme val="none"/>
      </font>
    </dxf>
    <dxf>
      <font>
        <name val="Abadi"/>
        <scheme val="none"/>
      </font>
    </dxf>
    <dxf>
      <font>
        <name val="Abadi"/>
        <scheme val="none"/>
      </font>
    </dxf>
    <dxf>
      <font>
        <name val="Abadi"/>
        <scheme val="none"/>
      </font>
    </dxf>
    <dxf>
      <font>
        <name val="Abadi"/>
        <scheme val="none"/>
      </font>
    </dxf>
    <dxf>
      <font>
        <name val="Abadi"/>
        <scheme val="none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name val="Abadi"/>
        <scheme val="none"/>
      </font>
    </dxf>
    <dxf>
      <font>
        <name val="Abadi"/>
        <scheme val="none"/>
      </font>
    </dxf>
    <dxf>
      <font>
        <name val="Abadi"/>
        <scheme val="none"/>
      </font>
    </dxf>
    <dxf>
      <font>
        <name val="Abadi"/>
        <scheme val="none"/>
      </font>
    </dxf>
    <dxf>
      <font>
        <name val="Abadi"/>
        <scheme val="none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name val="Abadi"/>
        <scheme val="none"/>
      </font>
    </dxf>
    <dxf>
      <font>
        <name val="Abadi"/>
        <scheme val="none"/>
      </font>
    </dxf>
    <dxf>
      <font>
        <name val="Abadi"/>
        <scheme val="none"/>
      </font>
    </dxf>
    <dxf>
      <font>
        <name val="Abadi"/>
        <scheme val="none"/>
      </font>
    </dxf>
    <dxf>
      <font>
        <name val="Abadi"/>
        <scheme val="none"/>
      </font>
    </dxf>
    <dxf>
      <font>
        <name val="Abadi"/>
        <scheme val="none"/>
      </font>
    </dxf>
    <dxf>
      <font>
        <name val="Abadi"/>
        <scheme val="none"/>
      </font>
    </dxf>
    <dxf>
      <font>
        <name val="Abadi"/>
        <scheme val="none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name val="Abadi"/>
        <scheme val="none"/>
      </font>
    </dxf>
    <dxf>
      <font>
        <name val="Abadi"/>
        <scheme val="none"/>
      </font>
    </dxf>
    <dxf>
      <font>
        <name val="Abadi"/>
        <scheme val="none"/>
      </font>
    </dxf>
    <dxf>
      <font>
        <name val="Abadi"/>
        <scheme val="none"/>
      </font>
    </dxf>
    <dxf>
      <font>
        <name val="Abadi"/>
        <scheme val="none"/>
      </font>
    </dxf>
    <dxf>
      <alignment wrapText="1"/>
    </dxf>
    <dxf>
      <font>
        <name val="Abadi"/>
        <scheme val="none"/>
      </font>
    </dxf>
    <dxf>
      <font>
        <name val="Abadi"/>
        <scheme val="none"/>
      </font>
    </dxf>
    <dxf>
      <font>
        <name val="Abadi"/>
        <scheme val="none"/>
      </font>
    </dxf>
    <dxf>
      <font>
        <name val="Abadi"/>
        <scheme val="none"/>
      </font>
    </dxf>
    <dxf>
      <font>
        <name val="Abadi"/>
        <scheme val="none"/>
      </font>
    </dxf>
    <dxf>
      <font>
        <name val="Abadi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2</xdr:row>
      <xdr:rowOff>152400</xdr:rowOff>
    </xdr:from>
    <xdr:to>
      <xdr:col>16</xdr:col>
      <xdr:colOff>409575</xdr:colOff>
      <xdr:row>14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9E4C89-764C-4EAD-9341-CDC77215A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533400"/>
          <a:ext cx="8296275" cy="2238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114299</xdr:rowOff>
    </xdr:from>
    <xdr:to>
      <xdr:col>0</xdr:col>
      <xdr:colOff>839770</xdr:colOff>
      <xdr:row>0</xdr:row>
      <xdr:rowOff>638174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C873DD-3DEB-4E1A-AC33-9E9F3A754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14299"/>
          <a:ext cx="73499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942975</xdr:colOff>
      <xdr:row>0</xdr:row>
      <xdr:rowOff>57150</xdr:rowOff>
    </xdr:from>
    <xdr:to>
      <xdr:col>7</xdr:col>
      <xdr:colOff>666750</xdr:colOff>
      <xdr:row>0</xdr:row>
      <xdr:rowOff>657225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4CA14EA-3FBE-4C22-85CF-0665953AFE6A}"/>
            </a:ext>
          </a:extLst>
        </xdr:cNvPr>
        <xdr:cNvSpPr txBox="1"/>
      </xdr:nvSpPr>
      <xdr:spPr>
        <a:xfrm>
          <a:off x="942975" y="57150"/>
          <a:ext cx="5476875" cy="60007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IN" sz="1400" b="1"/>
            <a:t>Mohgaon Women Growers Producers Company Ltd</a:t>
          </a:r>
        </a:p>
        <a:p>
          <a:pPr algn="ctr"/>
          <a:r>
            <a:rPr lang="en-IN" sz="1400" b="1"/>
            <a:t>Dashboard: Demand collection Vs Input sales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9524</xdr:rowOff>
    </xdr:from>
    <xdr:to>
      <xdr:col>1</xdr:col>
      <xdr:colOff>295275</xdr:colOff>
      <xdr:row>0</xdr:row>
      <xdr:rowOff>466724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DB2DDB-7D89-424E-B6BE-6DF78D99B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4"/>
          <a:ext cx="73342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571500</xdr:colOff>
      <xdr:row>0</xdr:row>
      <xdr:rowOff>47625</xdr:rowOff>
    </xdr:from>
    <xdr:to>
      <xdr:col>13</xdr:col>
      <xdr:colOff>657225</xdr:colOff>
      <xdr:row>0</xdr:row>
      <xdr:rowOff>523875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233F5E4-623F-4AF2-B95C-88946DB5C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47625"/>
          <a:ext cx="17526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53</xdr:col>
      <xdr:colOff>571500</xdr:colOff>
      <xdr:row>0</xdr:row>
      <xdr:rowOff>114300</xdr:rowOff>
    </xdr:from>
    <xdr:to>
      <xdr:col>55</xdr:col>
      <xdr:colOff>122196</xdr:colOff>
      <xdr:row>0</xdr:row>
      <xdr:rowOff>485775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D02D043-F10A-4BF8-B146-7912F8A0B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85525" y="114300"/>
          <a:ext cx="607971" cy="37147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asista, Nilanjana" refreshedDate="44708.488475231483" createdVersion="7" refreshedVersion="7" minRefreshableVersion="3" recordCount="24" xr:uid="{B5052F5C-C5F3-4117-BF61-214922EF1295}">
  <cacheSource type="worksheet">
    <worksheetSource ref="D40:E64" sheet="Dashboard"/>
  </cacheSource>
  <cacheFields count="2">
    <cacheField name="Name of farmer" numFmtId="0">
      <sharedItems/>
    </cacheField>
    <cacheField name="If No, Mention reason" numFmtId="0">
      <sharedItems count="4">
        <s v="Free distribution from Govt"/>
        <s v="High Cost"/>
        <s v="Previous year experience was not good"/>
        <s v="Bought from other vendor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asista, Nilanjana" refreshedDate="44708.488475578706" createdVersion="7" refreshedVersion="7" minRefreshableVersion="3" recordCount="85" xr:uid="{EC23AA29-D996-452A-A445-FBB701AC6C9C}">
  <cacheSource type="worksheet">
    <worksheetSource ref="A2:BF87" sheet="Input selling form"/>
  </cacheSource>
  <cacheFields count="58">
    <cacheField name="Sl. No" numFmtId="0">
      <sharedItems containsSemiMixedTypes="0" containsString="0" containsNumber="1" containsInteger="1" minValue="1" maxValue="85"/>
    </cacheField>
    <cacheField name="CSP name" numFmtId="0">
      <sharedItems count="4">
        <s v="Dhaniyan Bai"/>
        <s v="Haribati Marabi"/>
        <s v="Anita Biswakarma"/>
        <s v="Nainwati Marawi"/>
      </sharedItems>
    </cacheField>
    <cacheField name="Name of farmer" numFmtId="0">
      <sharedItems count="81">
        <s v="Kammo Dhurwey"/>
        <s v="Indrawati"/>
        <s v="Sundariya Tekam"/>
        <s v="Sunita"/>
        <s v="Draupati Bai "/>
        <s v="Sashi Bairagi "/>
        <s v="Jeera Bai "/>
        <s v="Gomti"/>
        <s v="Dooja Bai"/>
        <s v="Tijan kulaste"/>
        <s v="Dukhiya Tekam"/>
        <s v="Meera Bai "/>
        <s v="Chindo Bai"/>
        <s v="Anita Tekam"/>
        <s v="Maliya Bai "/>
        <s v="Thagiya  Bai"/>
        <s v="Hariwati Bai"/>
        <s v="Radha Bai"/>
        <s v="Rajkumari Bai"/>
        <s v="Bhagwati"/>
        <s v="Halki Bai"/>
        <s v="Jeera Bai"/>
        <s v="Munni Bai"/>
        <s v="Phulma"/>
        <s v="Runiya Bai"/>
        <s v="Rupi Bai"/>
        <s v="Saraswati Bai"/>
        <s v="Saroj Bai"/>
        <s v="Sushila Bai"/>
        <s v="Bajjo Bai"/>
        <s v="Daro Bai"/>
        <s v="Foondri"/>
        <s v="Halki"/>
        <s v="Meera Bai"/>
        <s v="Nidhi Bhawedi"/>
        <s v="Puniya Bai"/>
        <s v="Rupwati"/>
        <s v="Sharda Bai"/>
        <s v="Shyam Kumari"/>
        <s v="Sutti Bai"/>
        <s v="Titri Bai"/>
        <s v="Mindal Bai"/>
        <s v="Sammal Bai"/>
        <s v="Anita Bai"/>
        <s v="Anjana"/>
        <s v="Basanti Bai"/>
        <s v="Bhagoti Bai"/>
        <s v="Devki Bai"/>
        <s v="Indarwati bai"/>
        <s v="Laxmi Dhurwey"/>
        <s v="Muliya Bai"/>
        <s v="Para Bai"/>
        <s v="Ramli Bai"/>
        <s v="Sandhya Bai"/>
        <s v="Santoshi Bai"/>
        <s v="Baro bai"/>
        <s v="Chandrwati bai"/>
        <s v="Devki Tekam"/>
        <s v="Durga bai"/>
        <s v="Gilaso bai"/>
        <s v="Kapuri bai"/>
        <s v="Laxmi bai"/>
        <s v="Leela bai"/>
        <s v="Naniwati bai"/>
        <s v="Panchho bai"/>
        <s v="Prembati bai"/>
        <s v="Shevkali"/>
        <s v="Sohaniya bai"/>
        <s v="Sukalwati"/>
        <s v="Devanti"/>
        <s v="Durgeshni"/>
        <s v="Guddi Bai"/>
        <s v="Kalawati"/>
        <s v="Kali Bai"/>
        <s v="Kasturiya"/>
        <s v="Nainwati"/>
        <s v="Phundiya"/>
        <s v="Suhaga"/>
        <s v="Suhana"/>
        <s v="Sumantri"/>
        <s v="Usha Tekam"/>
      </sharedItems>
    </cacheField>
    <cacheField name="Mob. No" numFmtId="0">
      <sharedItems containsSemiMixedTypes="0" containsString="0" containsNumber="1" containsInteger="1" minValue="0" maxValue="9770763477"/>
    </cacheField>
    <cacheField name="Membership _x000a_" numFmtId="0">
      <sharedItems count="2">
        <s v="Yes"/>
        <s v="No"/>
      </sharedItems>
    </cacheField>
    <cacheField name="Village name" numFmtId="0">
      <sharedItems count="4">
        <s v="Silghiti "/>
        <s v="Sakri"/>
        <s v="Dupta"/>
        <s v="Harra Tikur"/>
      </sharedItems>
    </cacheField>
    <cacheField name="SHG/FIG Name" numFmtId="0">
      <sharedItems/>
    </cacheField>
    <cacheField name="Season" numFmtId="0">
      <sharedItems/>
    </cacheField>
    <cacheField name="Purchased status" numFmtId="0">
      <sharedItems count="2">
        <s v="Yes"/>
        <s v="No"/>
      </sharedItems>
    </cacheField>
    <cacheField name="If No, Mention reason" numFmtId="0">
      <sharedItems count="5">
        <s v="Not Applicable"/>
        <s v="Previous year experience was not good"/>
        <s v="Free distribution from Govt"/>
        <s v="High Cost"/>
        <s v="Bought from other vendor"/>
      </sharedItems>
    </cacheField>
    <cacheField name="Paddy" numFmtId="0">
      <sharedItems count="2">
        <s v="Yes"/>
        <s v="No"/>
      </sharedItems>
    </cacheField>
    <cacheField name="Duration of paddy" numFmtId="0">
      <sharedItems containsBlank="1"/>
    </cacheField>
    <cacheField name="Quantity" numFmtId="0">
      <sharedItems containsString="0" containsBlank="1" containsNumber="1" containsInteger="1" minValue="1" maxValue="80"/>
    </cacheField>
    <cacheField name="Unit" numFmtId="0">
      <sharedItems containsBlank="1"/>
    </cacheField>
    <cacheField name="Wheat" numFmtId="0">
      <sharedItems containsNonDate="0" containsString="0" containsBlank="1"/>
    </cacheField>
    <cacheField name="Quantity2" numFmtId="0">
      <sharedItems containsNonDate="0" containsString="0" containsBlank="1"/>
    </cacheField>
    <cacheField name="Unit2" numFmtId="0">
      <sharedItems containsNonDate="0" containsString="0" containsBlank="1"/>
    </cacheField>
    <cacheField name=" Maize" numFmtId="0">
      <sharedItems containsBlank="1" count="3">
        <s v="No"/>
        <s v="Yes"/>
        <m/>
      </sharedItems>
    </cacheField>
    <cacheField name="Quantity3" numFmtId="0">
      <sharedItems containsString="0" containsBlank="1" containsNumber="1" containsInteger="1" minValue="1" maxValue="1"/>
    </cacheField>
    <cacheField name="Unit3" numFmtId="0">
      <sharedItems containsBlank="1"/>
    </cacheField>
    <cacheField name="Brinjal" numFmtId="0">
      <sharedItems containsBlank="1" count="3">
        <s v="No"/>
        <s v="Yes"/>
        <m/>
      </sharedItems>
    </cacheField>
    <cacheField name="Quantity4" numFmtId="0">
      <sharedItems containsBlank="1" containsMixedTypes="1" containsNumber="1" containsInteger="1" minValue="1" maxValue="1"/>
    </cacheField>
    <cacheField name="Unit4" numFmtId="0">
      <sharedItems containsBlank="1"/>
    </cacheField>
    <cacheField name="Barbarti" numFmtId="0">
      <sharedItems containsBlank="1" count="2">
        <s v="No"/>
        <m/>
      </sharedItems>
    </cacheField>
    <cacheField name="Quantity5" numFmtId="0">
      <sharedItems containsBlank="1"/>
    </cacheField>
    <cacheField name="Unit5" numFmtId="0">
      <sharedItems containsBlank="1"/>
    </cacheField>
    <cacheField name="Bhindi" numFmtId="0">
      <sharedItems containsBlank="1"/>
    </cacheField>
    <cacheField name="Quantity6" numFmtId="0">
      <sharedItems containsBlank="1"/>
    </cacheField>
    <cacheField name="Unit6" numFmtId="0">
      <sharedItems containsBlank="1"/>
    </cacheField>
    <cacheField name="Chilli" numFmtId="0">
      <sharedItems containsBlank="1"/>
    </cacheField>
    <cacheField name="Quantity7" numFmtId="0">
      <sharedItems containsBlank="1"/>
    </cacheField>
    <cacheField name="Unit7" numFmtId="0">
      <sharedItems containsBlank="1"/>
    </cacheField>
    <cacheField name="Tomato" numFmtId="0">
      <sharedItems containsBlank="1" count="3">
        <s v="Yes"/>
        <s v="No"/>
        <m/>
      </sharedItems>
    </cacheField>
    <cacheField name="Quantity8" numFmtId="0">
      <sharedItems containsBlank="1" containsMixedTypes="1" containsNumber="1" containsInteger="1" minValue="1" maxValue="1"/>
    </cacheField>
    <cacheField name="Unit8" numFmtId="0">
      <sharedItems containsBlank="1"/>
    </cacheField>
    <cacheField name="Bitter Gourd Karela" numFmtId="0">
      <sharedItems containsNonDate="0" containsString="0" containsBlank="1"/>
    </cacheField>
    <cacheField name="Quantity9" numFmtId="0">
      <sharedItems containsNonDate="0" containsString="0" containsBlank="1"/>
    </cacheField>
    <cacheField name="Unit9" numFmtId="0">
      <sharedItems containsNonDate="0" containsString="0" containsBlank="1"/>
    </cacheField>
    <cacheField name="Louki" numFmtId="0">
      <sharedItems containsNonDate="0" containsString="0" containsBlank="1"/>
    </cacheField>
    <cacheField name="Quantity10" numFmtId="0">
      <sharedItems containsNonDate="0" containsString="0" containsBlank="1"/>
    </cacheField>
    <cacheField name="Unit10" numFmtId="0">
      <sharedItems containsNonDate="0" containsString="0" containsBlank="1"/>
    </cacheField>
    <cacheField name="Others (Specify Name)" numFmtId="0">
      <sharedItems containsNonDate="0" containsString="0" containsBlank="1"/>
    </cacheField>
    <cacheField name="Quantity11" numFmtId="0">
      <sharedItems containsNonDate="0" containsString="0" containsBlank="1"/>
    </cacheField>
    <cacheField name="Unit11" numFmtId="0">
      <sharedItems containsNonDate="0" containsString="0" containsBlank="1"/>
    </cacheField>
    <cacheField name="DAP Khad" numFmtId="0">
      <sharedItems containsBlank="1"/>
    </cacheField>
    <cacheField name="Quantity12" numFmtId="0">
      <sharedItems containsString="0" containsBlank="1" containsNumber="1" containsInteger="1" minValue="1" maxValue="1"/>
    </cacheField>
    <cacheField name="Unit12" numFmtId="0">
      <sharedItems containsBlank="1"/>
    </cacheField>
    <cacheField name="Urea" numFmtId="0">
      <sharedItems containsBlank="1"/>
    </cacheField>
    <cacheField name="Quantity13" numFmtId="0">
      <sharedItems containsString="0" containsBlank="1" containsNumber="1" containsInteger="1" minValue="1" maxValue="1"/>
    </cacheField>
    <cacheField name="Unit13" numFmtId="0">
      <sharedItems containsBlank="1"/>
    </cacheField>
    <cacheField name="Kitnashak" numFmtId="0">
      <sharedItems containsBlank="1"/>
    </cacheField>
    <cacheField name="Quantity14" numFmtId="0">
      <sharedItems containsString="0" containsBlank="1" containsNumber="1" containsInteger="1" minValue="1" maxValue="1"/>
    </cacheField>
    <cacheField name="Unit14" numFmtId="0">
      <sharedItems containsBlank="1"/>
    </cacheField>
    <cacheField name="Seed treatment medicine" numFmtId="0">
      <sharedItems containsBlank="1"/>
    </cacheField>
    <cacheField name="Quantity15" numFmtId="0">
      <sharedItems containsString="0" containsBlank="1" containsNumber="1" containsInteger="1" minValue="1" maxValue="1"/>
    </cacheField>
    <cacheField name="Unit15" numFmtId="0">
      <sharedItems containsBlank="1"/>
    </cacheField>
    <cacheField name="Remaining amount paid to CSP" numFmtId="0">
      <sharedItems containsString="0" containsBlank="1" containsNumber="1" containsInteger="1" minValue="600" maxValue="900"/>
    </cacheField>
    <cacheField name="Total amount paid to CSP" numFmtId="0">
      <sharedItems containsSemiMixedTypes="0" containsString="0" containsNumber="1" containsInteger="1" minValue="200" maxValue="1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asista, Nilanjana" refreshedDate="44708.488477199076" createdVersion="7" refreshedVersion="7" minRefreshableVersion="3" recordCount="85" xr:uid="{EEDC3FB8-1757-496A-9EBF-3B77DF53A91E}">
  <cacheSource type="worksheet">
    <worksheetSource ref="A2:BL87" sheet="Farmer Demand"/>
  </cacheSource>
  <cacheFields count="67">
    <cacheField name="Sl. No" numFmtId="0">
      <sharedItems containsSemiMixedTypes="0" containsString="0" containsNumber="1" containsInteger="1" minValue="1" maxValue="85"/>
    </cacheField>
    <cacheField name="CSP name" numFmtId="0">
      <sharedItems count="4">
        <s v="Dhaniyan Bai"/>
        <s v="Haribati Marabi"/>
        <s v="Anita Biswakarma"/>
        <s v="Nainwati Marawi"/>
      </sharedItems>
    </cacheField>
    <cacheField name="Name of farmer" numFmtId="0">
      <sharedItems count="81">
        <s v="Kammo Dhurwey"/>
        <s v="Indrawati"/>
        <s v="Sundariya Tekam"/>
        <s v="Sunita"/>
        <s v="Draupati Bai "/>
        <s v="Sashi Bairagi "/>
        <s v="Jeera Bai "/>
        <s v="Gomti"/>
        <s v="Dooja Bai"/>
        <s v="Tijan kulaste"/>
        <s v="Dukhiya Tekam"/>
        <s v="Meera Bai "/>
        <s v="Chindo Bai"/>
        <s v="Anita Tekam"/>
        <s v="Maliya Bai "/>
        <s v="Thagiya  Bai"/>
        <s v="Hariwati Bai"/>
        <s v="Radha Bai"/>
        <s v="Rajkumari Bai"/>
        <s v="Bhagwati"/>
        <s v="Halki Bai"/>
        <s v="Jeera Bai"/>
        <s v="Munni Bai"/>
        <s v="Phulma"/>
        <s v="Runiya Bai"/>
        <s v="Rupi Bai"/>
        <s v="Saraswati Bai"/>
        <s v="Saroj Bai"/>
        <s v="Sushila Bai"/>
        <s v="Bajjo Bai"/>
        <s v="Daro Bai"/>
        <s v="Foondri"/>
        <s v="Halki"/>
        <s v="Meera Bai"/>
        <s v="Nidhi Bhawedi"/>
        <s v="Puniya Bai"/>
        <s v="Rupwati"/>
        <s v="Sharda Bai"/>
        <s v="Shyam Kumari"/>
        <s v="Sutti Bai"/>
        <s v="Titri Bai"/>
        <s v="Mindal Bai"/>
        <s v="Sammal Bai"/>
        <s v="Anita Bai"/>
        <s v="Anjana"/>
        <s v="Basanti Bai"/>
        <s v="Bhagoti Bai"/>
        <s v="Devki Bai"/>
        <s v="Indarwati bai"/>
        <s v="Laxmi Dhurwey"/>
        <s v="Muliya Bai"/>
        <s v="Para Bai"/>
        <s v="Ramli Bai"/>
        <s v="Sandhya Bai"/>
        <s v="Santoshi Bai"/>
        <s v="Baro bai"/>
        <s v="Chandrwati bai"/>
        <s v="Devki Tekam"/>
        <s v="Durga bai"/>
        <s v="Gilaso bai"/>
        <s v="Kapuri bai"/>
        <s v="Laxmi bai"/>
        <s v="Leela bai"/>
        <s v="Naniwati bai"/>
        <s v="Panchho bai"/>
        <s v="Prembati bai"/>
        <s v="Shevkali"/>
        <s v="Sohaniya bai"/>
        <s v="Sukalwati"/>
        <s v="Devanti"/>
        <s v="Durgeshni"/>
        <s v="Guddi Bai"/>
        <s v="Kalawati"/>
        <s v="Kali Bai"/>
        <s v="Kasturiya"/>
        <s v="Nainwati"/>
        <s v="Phundiya"/>
        <s v="Suhaga"/>
        <s v="Suhana"/>
        <s v="Sumantri"/>
        <s v="Usha Tekam"/>
      </sharedItems>
    </cacheField>
    <cacheField name="Mob. No" numFmtId="0">
      <sharedItems containsString="0" containsBlank="1" containsNumber="1" containsInteger="1" minValue="7067309717" maxValue="9770763477"/>
    </cacheField>
    <cacheField name="Membership _x000a_" numFmtId="0">
      <sharedItems count="2">
        <s v="Yes"/>
        <s v="No"/>
      </sharedItems>
    </cacheField>
    <cacheField name="Village name" numFmtId="0">
      <sharedItems count="4">
        <s v="Silghiti "/>
        <s v="Sakri"/>
        <s v="Dupta"/>
        <s v="Harra Tikur"/>
      </sharedItems>
    </cacheField>
    <cacheField name="SHG/FIG Name" numFmtId="0">
      <sharedItems/>
    </cacheField>
    <cacheField name="Season" numFmtId="0">
      <sharedItems/>
    </cacheField>
    <cacheField name="Placed order_x000a_" numFmtId="0">
      <sharedItems/>
    </cacheField>
    <cacheField name="If No Mention reason" numFmtId="0">
      <sharedItems/>
    </cacheField>
    <cacheField name="If yes, Advance payment paid to CSP (INR)" numFmtId="0">
      <sharedItems containsSemiMixedTypes="0" containsString="0" containsNumber="1" containsInteger="1" minValue="0" maxValue="200"/>
    </cacheField>
    <cacheField name="Paddy" numFmtId="0">
      <sharedItems count="1">
        <s v="Yes"/>
      </sharedItems>
    </cacheField>
    <cacheField name="If Paddy, Crop Duration" numFmtId="0">
      <sharedItems/>
    </cacheField>
    <cacheField name="Quantity" numFmtId="0">
      <sharedItems containsSemiMixedTypes="0" containsString="0" containsNumber="1" minValue="1" maxValue="100"/>
    </cacheField>
    <cacheField name="Unit" numFmtId="0">
      <sharedItems/>
    </cacheField>
    <cacheField name="Wheat" numFmtId="0">
      <sharedItems/>
    </cacheField>
    <cacheField name="Variety" numFmtId="0">
      <sharedItems/>
    </cacheField>
    <cacheField name="Quantity2" numFmtId="0">
      <sharedItems/>
    </cacheField>
    <cacheField name="Unit2" numFmtId="0">
      <sharedItems/>
    </cacheField>
    <cacheField name=" Maize" numFmtId="0">
      <sharedItems count="2">
        <s v="No"/>
        <s v="Yes"/>
      </sharedItems>
    </cacheField>
    <cacheField name="Quantity3" numFmtId="0">
      <sharedItems containsMixedTypes="1" containsNumber="1" containsInteger="1" minValue="2" maxValue="2"/>
    </cacheField>
    <cacheField name="Unit3" numFmtId="0">
      <sharedItems/>
    </cacheField>
    <cacheField name="Brinjal" numFmtId="0">
      <sharedItems count="2">
        <s v="No"/>
        <s v="Yes"/>
      </sharedItems>
    </cacheField>
    <cacheField name="Quantity4" numFmtId="0">
      <sharedItems containsMixedTypes="1" containsNumber="1" containsInteger="1" minValue="1" maxValue="1"/>
    </cacheField>
    <cacheField name="Unit4" numFmtId="0">
      <sharedItems/>
    </cacheField>
    <cacheField name="Barbarti" numFmtId="0">
      <sharedItems/>
    </cacheField>
    <cacheField name="Quantity5" numFmtId="0">
      <sharedItems/>
    </cacheField>
    <cacheField name="Unit5" numFmtId="0">
      <sharedItems/>
    </cacheField>
    <cacheField name="Bhindi" numFmtId="0">
      <sharedItems/>
    </cacheField>
    <cacheField name="Quantity6" numFmtId="0">
      <sharedItems/>
    </cacheField>
    <cacheField name="Unit6" numFmtId="0">
      <sharedItems/>
    </cacheField>
    <cacheField name="Chilli" numFmtId="0">
      <sharedItems/>
    </cacheField>
    <cacheField name="Quantity7" numFmtId="0">
      <sharedItems/>
    </cacheField>
    <cacheField name="Unit7" numFmtId="0">
      <sharedItems/>
    </cacheField>
    <cacheField name="Tomato" numFmtId="0">
      <sharedItems count="2">
        <s v="Yes"/>
        <s v="No"/>
      </sharedItems>
    </cacheField>
    <cacheField name="Quantity8" numFmtId="0">
      <sharedItems containsMixedTypes="1" containsNumber="1" containsInteger="1" minValue="1" maxValue="1"/>
    </cacheField>
    <cacheField name="Unit8" numFmtId="0">
      <sharedItems/>
    </cacheField>
    <cacheField name="Bitter Gourd Karela" numFmtId="0">
      <sharedItems containsBlank="1"/>
    </cacheField>
    <cacheField name="Quantity9" numFmtId="0">
      <sharedItems containsBlank="1"/>
    </cacheField>
    <cacheField name="Unit9" numFmtId="0">
      <sharedItems containsBlank="1"/>
    </cacheField>
    <cacheField name="Louki" numFmtId="0">
      <sharedItems containsBlank="1" count="2">
        <s v="No"/>
        <m/>
      </sharedItems>
    </cacheField>
    <cacheField name="Quantity10" numFmtId="0">
      <sharedItems containsBlank="1"/>
    </cacheField>
    <cacheField name="Unit10" numFmtId="0">
      <sharedItems containsBlank="1"/>
    </cacheField>
    <cacheField name="Others (Specify Name)" numFmtId="0">
      <sharedItems containsBlank="1"/>
    </cacheField>
    <cacheField name="Quantity11" numFmtId="0">
      <sharedItems containsBlank="1"/>
    </cacheField>
    <cacheField name="Unit11" numFmtId="0">
      <sharedItems containsBlank="1"/>
    </cacheField>
    <cacheField name="Sowing area" numFmtId="0">
      <sharedItems containsSemiMixedTypes="0" containsString="0" containsNumber="1" minValue="0.5" maxValue="3"/>
    </cacheField>
    <cacheField name="Unit12" numFmtId="0">
      <sharedItems/>
    </cacheField>
    <cacheField name="Expected production (Paddy)" numFmtId="0">
      <sharedItems containsSemiMixedTypes="0" containsString="0" containsNumber="1" containsInteger="1" minValue="6" maxValue="40"/>
    </cacheField>
    <cacheField name="Unit13" numFmtId="0">
      <sharedItems/>
    </cacheField>
    <cacheField name="Total quantity available to sell to FPC" numFmtId="0">
      <sharedItems containsSemiMixedTypes="0" containsString="0" containsNumber="1" containsInteger="1" minValue="1" maxValue="15"/>
    </cacheField>
    <cacheField name="Unit14" numFmtId="0">
      <sharedItems/>
    </cacheField>
    <cacheField name="Product Name-1 " numFmtId="0">
      <sharedItems containsMixedTypes="1" containsNumber="1" containsInteger="1" minValue="0" maxValue="0"/>
    </cacheField>
    <cacheField name="Type" numFmtId="0">
      <sharedItems containsMixedTypes="1" containsNumber="1" containsInteger="1" minValue="0" maxValue="0"/>
    </cacheField>
    <cacheField name="Quantity12" numFmtId="0">
      <sharedItems containsSemiMixedTypes="0" containsString="0" containsNumber="1" containsInteger="1" minValue="0" maxValue="10"/>
    </cacheField>
    <cacheField name="Unit15" numFmtId="0">
      <sharedItems containsMixedTypes="1" containsNumber="1" containsInteger="1" minValue="0" maxValue="0"/>
    </cacheField>
    <cacheField name="Product Name-2 " numFmtId="0">
      <sharedItems containsMixedTypes="1" containsNumber="1" containsInteger="1" minValue="0" maxValue="0"/>
    </cacheField>
    <cacheField name="Type2" numFmtId="0">
      <sharedItems containsMixedTypes="1" containsNumber="1" containsInteger="1" minValue="0" maxValue="0"/>
    </cacheField>
    <cacheField name="Quantity13" numFmtId="0">
      <sharedItems containsSemiMixedTypes="0" containsString="0" containsNumber="1" containsInteger="1" minValue="0" maxValue="50"/>
    </cacheField>
    <cacheField name="Unit16" numFmtId="0">
      <sharedItems containsMixedTypes="1" containsNumber="1" containsInteger="1" minValue="0" maxValue="0"/>
    </cacheField>
    <cacheField name="Product Name-3 " numFmtId="0">
      <sharedItems containsMixedTypes="1" containsNumber="1" containsInteger="1" minValue="0" maxValue="0"/>
    </cacheField>
    <cacheField name="Type3" numFmtId="0">
      <sharedItems containsSemiMixedTypes="0" containsString="0" containsNumber="1" containsInteger="1" minValue="0" maxValue="0"/>
    </cacheField>
    <cacheField name="Quantity14" numFmtId="0">
      <sharedItems containsSemiMixedTypes="0" containsString="0" containsNumber="1" containsInteger="1" minValue="0" maxValue="0"/>
    </cacheField>
    <cacheField name="Unit17" numFmtId="0">
      <sharedItems containsSemiMixedTypes="0" containsString="0" containsNumber="1" containsInteger="1" minValue="0" maxValue="0"/>
    </cacheField>
    <cacheField name="Seed treatment medicine (Culture)" numFmtId="0">
      <sharedItems/>
    </cacheField>
    <cacheField name="Quantity15" numFmtId="0">
      <sharedItems containsSemiMixedTypes="0" containsString="0" containsNumber="1" containsInteger="1" minValue="1" maxValue="1"/>
    </cacheField>
    <cacheField name="Unit18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">
  <r>
    <s v="Basanti Bai"/>
    <x v="0"/>
  </r>
  <r>
    <s v="Bhagoti Bai"/>
    <x v="1"/>
  </r>
  <r>
    <s v="Bhagwati"/>
    <x v="2"/>
  </r>
  <r>
    <s v="Daro Bai"/>
    <x v="1"/>
  </r>
  <r>
    <s v="Devki Bai"/>
    <x v="3"/>
  </r>
  <r>
    <s v="Foondri"/>
    <x v="1"/>
  </r>
  <r>
    <s v="Halki"/>
    <x v="1"/>
  </r>
  <r>
    <s v="Halki Bai"/>
    <x v="2"/>
  </r>
  <r>
    <s v="Hariwati Bai"/>
    <x v="2"/>
  </r>
  <r>
    <s v="Indarwati bai"/>
    <x v="3"/>
  </r>
  <r>
    <s v="Jeera Bai"/>
    <x v="0"/>
  </r>
  <r>
    <s v="Laxmi Dhurwey"/>
    <x v="3"/>
  </r>
  <r>
    <s v="Meera Bai"/>
    <x v="1"/>
  </r>
  <r>
    <s v="Muliya Bai"/>
    <x v="3"/>
  </r>
  <r>
    <s v="Munni Bai"/>
    <x v="0"/>
  </r>
  <r>
    <s v="Nidhi Bhawedi"/>
    <x v="1"/>
  </r>
  <r>
    <s v="Para Bai"/>
    <x v="3"/>
  </r>
  <r>
    <s v="Phulma"/>
    <x v="0"/>
  </r>
  <r>
    <s v="Puniya Bai"/>
    <x v="3"/>
  </r>
  <r>
    <s v="Radha Bai"/>
    <x v="2"/>
  </r>
  <r>
    <s v="Rajkumari Bai"/>
    <x v="2"/>
  </r>
  <r>
    <s v="Ramli Bai"/>
    <x v="3"/>
  </r>
  <r>
    <s v="Rupwati"/>
    <x v="3"/>
  </r>
  <r>
    <s v="Sharda Bai"/>
    <x v="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5">
  <r>
    <n v="1"/>
    <x v="0"/>
    <x v="0"/>
    <n v="9770763477"/>
    <x v="0"/>
    <x v="0"/>
    <s v="Narayani SHG"/>
    <s v="Kharif"/>
    <x v="0"/>
    <x v="0"/>
    <x v="0"/>
    <s v="120 days"/>
    <n v="80"/>
    <s v="KG"/>
    <m/>
    <m/>
    <m/>
    <x v="0"/>
    <m/>
    <s v="NA"/>
    <x v="0"/>
    <s v="N/A"/>
    <s v="N/A"/>
    <x v="0"/>
    <s v="N/A"/>
    <s v="N/A"/>
    <s v="No"/>
    <s v="N/A"/>
    <s v="N/A"/>
    <s v="No"/>
    <s v="N/A"/>
    <s v="N/A"/>
    <x v="0"/>
    <n v="1"/>
    <s v="Packets"/>
    <m/>
    <m/>
    <m/>
    <m/>
    <m/>
    <m/>
    <m/>
    <m/>
    <m/>
    <s v="Yes"/>
    <n v="1"/>
    <s v="Packets"/>
    <s v="Yes"/>
    <n v="1"/>
    <s v="Packets"/>
    <s v="Yes"/>
    <n v="1"/>
    <s v="Packets"/>
    <s v="Yes"/>
    <n v="1"/>
    <s v="Packets"/>
    <n v="800"/>
    <n v="1000"/>
  </r>
  <r>
    <n v="2"/>
    <x v="0"/>
    <x v="1"/>
    <n v="8319747719"/>
    <x v="0"/>
    <x v="0"/>
    <s v="Jwala Tejaswani"/>
    <s v="Kharif"/>
    <x v="0"/>
    <x v="0"/>
    <x v="0"/>
    <s v="120 days"/>
    <n v="1"/>
    <s v="Packets"/>
    <m/>
    <m/>
    <m/>
    <x v="0"/>
    <m/>
    <s v="NA"/>
    <x v="0"/>
    <s v="N/A"/>
    <s v="N/A"/>
    <x v="0"/>
    <s v="N/A"/>
    <s v="N/A"/>
    <s v="No"/>
    <s v="N/A"/>
    <s v="N/A"/>
    <s v="No"/>
    <s v="N/A"/>
    <s v="N/A"/>
    <x v="1"/>
    <s v="N/A"/>
    <s v="N/A"/>
    <m/>
    <m/>
    <m/>
    <m/>
    <m/>
    <m/>
    <m/>
    <m/>
    <m/>
    <s v="Yes"/>
    <n v="1"/>
    <s v="Packets"/>
    <s v="Yes"/>
    <n v="1"/>
    <s v="Packets"/>
    <s v="Yes"/>
    <n v="1"/>
    <s v="Packets"/>
    <s v="Yes"/>
    <n v="1"/>
    <s v="Packets"/>
    <n v="600"/>
    <n v="800"/>
  </r>
  <r>
    <n v="3"/>
    <x v="0"/>
    <x v="2"/>
    <n v="9343883475"/>
    <x v="0"/>
    <x v="0"/>
    <s v="Jwala Tejaswani"/>
    <s v="Kharif"/>
    <x v="0"/>
    <x v="0"/>
    <x v="0"/>
    <s v="120 days"/>
    <n v="1"/>
    <s v="Packets"/>
    <m/>
    <m/>
    <m/>
    <x v="0"/>
    <m/>
    <s v="NA"/>
    <x v="1"/>
    <n v="1"/>
    <s v="Packets"/>
    <x v="0"/>
    <s v="N/A"/>
    <s v="N/A"/>
    <s v="No"/>
    <s v="N/A"/>
    <s v="N/A"/>
    <s v="No"/>
    <s v="N/A"/>
    <s v="N/A"/>
    <x v="0"/>
    <n v="1"/>
    <s v="Packets"/>
    <m/>
    <m/>
    <m/>
    <m/>
    <m/>
    <m/>
    <m/>
    <m/>
    <m/>
    <s v="Yes"/>
    <n v="1"/>
    <s v="Packets"/>
    <s v="Yes"/>
    <n v="1"/>
    <s v="Packets"/>
    <s v="Yes"/>
    <n v="1"/>
    <s v="Packets"/>
    <s v="Yes"/>
    <n v="1"/>
    <s v="Packets"/>
    <n v="700"/>
    <n v="900"/>
  </r>
  <r>
    <n v="4"/>
    <x v="0"/>
    <x v="3"/>
    <n v="9691630588"/>
    <x v="0"/>
    <x v="0"/>
    <s v="Jagdamba"/>
    <s v="Kharif"/>
    <x v="0"/>
    <x v="0"/>
    <x v="0"/>
    <s v="120 days"/>
    <n v="25"/>
    <s v="KG"/>
    <m/>
    <m/>
    <m/>
    <x v="1"/>
    <n v="1"/>
    <s v="KG"/>
    <x v="0"/>
    <s v="N/A"/>
    <s v="N/A"/>
    <x v="0"/>
    <s v="N/A"/>
    <s v="N/A"/>
    <s v="No"/>
    <s v="N/A"/>
    <s v="N/A"/>
    <s v="No"/>
    <s v="N/A"/>
    <s v="N/A"/>
    <x v="1"/>
    <s v="N/A"/>
    <s v="N/A"/>
    <m/>
    <m/>
    <m/>
    <m/>
    <m/>
    <m/>
    <m/>
    <m/>
    <m/>
    <s v="Yes"/>
    <n v="1"/>
    <s v="Packets"/>
    <s v="Yes"/>
    <n v="1"/>
    <s v="Packets"/>
    <s v="Yes"/>
    <n v="1"/>
    <s v="Packets"/>
    <s v="Yes"/>
    <n v="1"/>
    <s v="Packets"/>
    <n v="900"/>
    <n v="1100"/>
  </r>
  <r>
    <n v="5"/>
    <x v="0"/>
    <x v="4"/>
    <n v="0"/>
    <x v="0"/>
    <x v="0"/>
    <s v="Jwala Tejaswani"/>
    <s v="Kharif"/>
    <x v="0"/>
    <x v="0"/>
    <x v="0"/>
    <s v="120 days"/>
    <n v="2"/>
    <s v="Packets"/>
    <m/>
    <m/>
    <m/>
    <x v="0"/>
    <m/>
    <s v="NA"/>
    <x v="0"/>
    <s v="N/A"/>
    <s v="N/A"/>
    <x v="0"/>
    <s v="N/A"/>
    <s v="N/A"/>
    <s v="No"/>
    <s v="N/A"/>
    <s v="N/A"/>
    <s v="No"/>
    <s v="N/A"/>
    <s v="N/A"/>
    <x v="1"/>
    <s v="N/A"/>
    <s v="N/A"/>
    <m/>
    <m/>
    <m/>
    <m/>
    <m/>
    <m/>
    <m/>
    <m/>
    <m/>
    <s v="Yes"/>
    <n v="1"/>
    <s v="Packets"/>
    <s v="Yes"/>
    <n v="1"/>
    <s v="Packets"/>
    <s v="Yes"/>
    <n v="1"/>
    <s v="Packets"/>
    <s v="Yes"/>
    <n v="1"/>
    <s v="Packets"/>
    <n v="800"/>
    <n v="1000"/>
  </r>
  <r>
    <n v="6"/>
    <x v="0"/>
    <x v="5"/>
    <n v="0"/>
    <x v="0"/>
    <x v="0"/>
    <s v="Jwala Tejaswani"/>
    <s v="Kharif"/>
    <x v="0"/>
    <x v="0"/>
    <x v="0"/>
    <s v="120 days"/>
    <n v="1"/>
    <s v="Packets"/>
    <m/>
    <m/>
    <m/>
    <x v="0"/>
    <m/>
    <s v="NA"/>
    <x v="0"/>
    <s v="N/A"/>
    <s v="N/A"/>
    <x v="0"/>
    <s v="N/A"/>
    <s v="N/A"/>
    <s v="No"/>
    <s v="N/A"/>
    <s v="N/A"/>
    <s v="No"/>
    <s v="N/A"/>
    <s v="N/A"/>
    <x v="1"/>
    <s v="N/A"/>
    <s v="N/A"/>
    <m/>
    <m/>
    <m/>
    <m/>
    <m/>
    <m/>
    <m/>
    <m/>
    <m/>
    <s v="Yes"/>
    <n v="1"/>
    <s v="Packets"/>
    <s v="Yes"/>
    <n v="1"/>
    <s v="Packets"/>
    <s v="Yes"/>
    <n v="1"/>
    <s v="Packets"/>
    <s v="Yes"/>
    <n v="1"/>
    <s v="Packets"/>
    <n v="600"/>
    <n v="600"/>
  </r>
  <r>
    <n v="7"/>
    <x v="0"/>
    <x v="6"/>
    <n v="0"/>
    <x v="0"/>
    <x v="0"/>
    <s v="Jagdamba"/>
    <s v="Kharif"/>
    <x v="0"/>
    <x v="0"/>
    <x v="0"/>
    <s v="120 days"/>
    <n v="1"/>
    <s v="Packets"/>
    <m/>
    <m/>
    <m/>
    <x v="0"/>
    <m/>
    <s v="NA"/>
    <x v="0"/>
    <s v="N/A"/>
    <s v="N/A"/>
    <x v="0"/>
    <s v="N/A"/>
    <s v="N/A"/>
    <s v="No"/>
    <s v="N/A"/>
    <s v="N/A"/>
    <s v="No"/>
    <s v="N/A"/>
    <s v="N/A"/>
    <x v="1"/>
    <s v="N/A"/>
    <s v="N/A"/>
    <m/>
    <m/>
    <m/>
    <m/>
    <m/>
    <m/>
    <m/>
    <m/>
    <m/>
    <s v="Yes"/>
    <n v="1"/>
    <s v="Packets"/>
    <s v="Yes"/>
    <n v="1"/>
    <s v="Packets"/>
    <s v="Yes"/>
    <n v="1"/>
    <s v="Packets"/>
    <s v="Yes"/>
    <n v="1"/>
    <s v="Packets"/>
    <n v="700"/>
    <n v="900"/>
  </r>
  <r>
    <n v="8"/>
    <x v="0"/>
    <x v="7"/>
    <n v="0"/>
    <x v="0"/>
    <x v="0"/>
    <s v="Durga"/>
    <s v="Kharif"/>
    <x v="0"/>
    <x v="0"/>
    <x v="0"/>
    <s v="120 days"/>
    <n v="1"/>
    <s v="Packets"/>
    <m/>
    <m/>
    <m/>
    <x v="0"/>
    <m/>
    <s v="NA"/>
    <x v="0"/>
    <s v="N/A"/>
    <s v="N/A"/>
    <x v="0"/>
    <s v="N/A"/>
    <s v="N/A"/>
    <s v="No"/>
    <s v="N/A"/>
    <s v="N/A"/>
    <s v="No"/>
    <s v="N/A"/>
    <s v="N/A"/>
    <x v="1"/>
    <s v="N/A"/>
    <s v="N/A"/>
    <m/>
    <m/>
    <m/>
    <m/>
    <m/>
    <m/>
    <m/>
    <m/>
    <m/>
    <s v="Yes"/>
    <n v="1"/>
    <s v="Packets"/>
    <s v="Yes"/>
    <n v="1"/>
    <s v="Packets"/>
    <s v="Yes"/>
    <n v="1"/>
    <s v="Packets"/>
    <s v="Yes"/>
    <n v="1"/>
    <s v="Packets"/>
    <n v="900"/>
    <n v="1100"/>
  </r>
  <r>
    <n v="9"/>
    <x v="0"/>
    <x v="8"/>
    <n v="0"/>
    <x v="0"/>
    <x v="0"/>
    <s v="Durga"/>
    <s v="Kharif"/>
    <x v="0"/>
    <x v="0"/>
    <x v="0"/>
    <s v="120 days"/>
    <n v="2"/>
    <s v="Packets"/>
    <m/>
    <m/>
    <m/>
    <x v="0"/>
    <m/>
    <s v="NA"/>
    <x v="1"/>
    <n v="1"/>
    <s v="Packets"/>
    <x v="0"/>
    <s v="N/A"/>
    <s v="N/A"/>
    <s v="No"/>
    <s v="N/A"/>
    <s v="N/A"/>
    <s v="No"/>
    <s v="N/A"/>
    <s v="N/A"/>
    <x v="0"/>
    <n v="1"/>
    <s v="Packets"/>
    <m/>
    <m/>
    <m/>
    <m/>
    <m/>
    <m/>
    <m/>
    <m/>
    <m/>
    <s v="Yes"/>
    <n v="1"/>
    <s v="Packets"/>
    <s v="Yes"/>
    <n v="1"/>
    <s v="Packets"/>
    <s v="Yes"/>
    <n v="1"/>
    <s v="Packets"/>
    <s v="Yes"/>
    <n v="1"/>
    <s v="Packets"/>
    <n v="800"/>
    <n v="1000"/>
  </r>
  <r>
    <n v="10"/>
    <x v="0"/>
    <x v="9"/>
    <n v="0"/>
    <x v="0"/>
    <x v="0"/>
    <s v="Durga"/>
    <s v="Kharif"/>
    <x v="0"/>
    <x v="0"/>
    <x v="0"/>
    <s v="120 days"/>
    <n v="1"/>
    <s v="Packets"/>
    <m/>
    <m/>
    <m/>
    <x v="0"/>
    <m/>
    <s v="NA"/>
    <x v="0"/>
    <s v="N/A"/>
    <s v="N/A"/>
    <x v="0"/>
    <s v="N/A"/>
    <s v="N/A"/>
    <s v="No"/>
    <s v="N/A"/>
    <s v="N/A"/>
    <s v="No"/>
    <s v="N/A"/>
    <s v="N/A"/>
    <x v="1"/>
    <s v="N/A"/>
    <s v="N/A"/>
    <m/>
    <m/>
    <m/>
    <m/>
    <m/>
    <m/>
    <m/>
    <m/>
    <m/>
    <s v="Yes"/>
    <n v="1"/>
    <s v="Packets"/>
    <s v="Yes"/>
    <n v="1"/>
    <s v="Packets"/>
    <s v="Yes"/>
    <n v="1"/>
    <s v="Packets"/>
    <s v="Yes"/>
    <n v="1"/>
    <s v="Packets"/>
    <n v="600"/>
    <n v="800"/>
  </r>
  <r>
    <n v="11"/>
    <x v="0"/>
    <x v="10"/>
    <n v="0"/>
    <x v="0"/>
    <x v="0"/>
    <s v="Jwala"/>
    <s v="Kharif"/>
    <x v="0"/>
    <x v="0"/>
    <x v="0"/>
    <s v="120 days"/>
    <n v="1"/>
    <s v="Packets"/>
    <m/>
    <m/>
    <m/>
    <x v="0"/>
    <m/>
    <s v="NA"/>
    <x v="1"/>
    <n v="1"/>
    <s v="Packets"/>
    <x v="0"/>
    <s v="N/A"/>
    <s v="N/A"/>
    <s v="No"/>
    <s v="N/A"/>
    <s v="N/A"/>
    <s v="No"/>
    <s v="N/A"/>
    <s v="N/A"/>
    <x v="0"/>
    <n v="1"/>
    <s v="Packets"/>
    <m/>
    <m/>
    <m/>
    <m/>
    <m/>
    <m/>
    <m/>
    <m/>
    <m/>
    <s v="Yes"/>
    <n v="1"/>
    <s v="Packets"/>
    <s v="Yes"/>
    <n v="1"/>
    <s v="Packets"/>
    <s v="Yes"/>
    <n v="1"/>
    <s v="Packets"/>
    <s v="Yes"/>
    <n v="1"/>
    <s v="Packets"/>
    <n v="700"/>
    <n v="900"/>
  </r>
  <r>
    <n v="12"/>
    <x v="0"/>
    <x v="11"/>
    <n v="9329902121"/>
    <x v="0"/>
    <x v="0"/>
    <s v="Jagdamba"/>
    <s v="Kharif"/>
    <x v="0"/>
    <x v="0"/>
    <x v="0"/>
    <s v="120 days"/>
    <n v="10"/>
    <s v="KG"/>
    <m/>
    <m/>
    <m/>
    <x v="0"/>
    <m/>
    <s v="NA"/>
    <x v="1"/>
    <n v="1"/>
    <s v="Packets"/>
    <x v="0"/>
    <s v="N/A"/>
    <s v="N/A"/>
    <s v="No"/>
    <s v="N/A"/>
    <s v="N/A"/>
    <s v="No"/>
    <s v="N/A"/>
    <s v="N/A"/>
    <x v="0"/>
    <n v="1"/>
    <s v="Packets"/>
    <m/>
    <m/>
    <m/>
    <m/>
    <m/>
    <m/>
    <m/>
    <m/>
    <m/>
    <s v="Yes"/>
    <n v="1"/>
    <s v="Packets"/>
    <s v="Yes"/>
    <n v="1"/>
    <s v="Packets"/>
    <s v="Yes"/>
    <n v="1"/>
    <s v="Packets"/>
    <s v="Yes"/>
    <n v="1"/>
    <s v="Packets"/>
    <n v="900"/>
    <n v="1100"/>
  </r>
  <r>
    <n v="13"/>
    <x v="0"/>
    <x v="12"/>
    <n v="0"/>
    <x v="0"/>
    <x v="0"/>
    <s v="Jagdamba"/>
    <s v="Kharif"/>
    <x v="0"/>
    <x v="0"/>
    <x v="0"/>
    <s v="120 days"/>
    <n v="5"/>
    <s v="KG"/>
    <m/>
    <m/>
    <m/>
    <x v="0"/>
    <m/>
    <s v="NA"/>
    <x v="0"/>
    <s v="N/A"/>
    <s v="N/A"/>
    <x v="0"/>
    <s v="N/A"/>
    <s v="N/A"/>
    <s v="No"/>
    <s v="N/A"/>
    <s v="N/A"/>
    <s v="No"/>
    <s v="N/A"/>
    <s v="N/A"/>
    <x v="1"/>
    <s v="N/A"/>
    <s v="N/A"/>
    <m/>
    <m/>
    <m/>
    <m/>
    <m/>
    <m/>
    <m/>
    <m/>
    <m/>
    <s v="Yes"/>
    <n v="1"/>
    <s v="Packets"/>
    <s v="Yes"/>
    <n v="1"/>
    <s v="Packets"/>
    <s v="Yes"/>
    <n v="1"/>
    <s v="Packets"/>
    <s v="Yes"/>
    <n v="1"/>
    <s v="Packets"/>
    <n v="800"/>
    <n v="1000"/>
  </r>
  <r>
    <n v="14"/>
    <x v="0"/>
    <x v="13"/>
    <n v="7067309717"/>
    <x v="0"/>
    <x v="0"/>
    <s v="Jagdamba"/>
    <s v="Kharif"/>
    <x v="0"/>
    <x v="0"/>
    <x v="0"/>
    <s v="90 days"/>
    <n v="15"/>
    <s v="KG"/>
    <m/>
    <m/>
    <m/>
    <x v="0"/>
    <m/>
    <s v="NA"/>
    <x v="0"/>
    <s v="N/A"/>
    <s v="N/A"/>
    <x v="0"/>
    <s v="N/A"/>
    <s v="N/A"/>
    <s v="No"/>
    <s v="N/A"/>
    <s v="N/A"/>
    <s v="No"/>
    <s v="N/A"/>
    <s v="N/A"/>
    <x v="0"/>
    <n v="1"/>
    <s v="Packets"/>
    <m/>
    <m/>
    <m/>
    <m/>
    <m/>
    <m/>
    <m/>
    <m/>
    <m/>
    <s v="Yes"/>
    <n v="1"/>
    <s v="Packets"/>
    <s v="Yes"/>
    <n v="1"/>
    <s v="Packets"/>
    <s v="Yes"/>
    <n v="1"/>
    <s v="Packets"/>
    <s v="Yes"/>
    <n v="1"/>
    <s v="Packets"/>
    <n v="600"/>
    <n v="800"/>
  </r>
  <r>
    <n v="15"/>
    <x v="0"/>
    <x v="14"/>
    <n v="0"/>
    <x v="0"/>
    <x v="0"/>
    <s v="Narayani SHG"/>
    <s v="Kharif"/>
    <x v="0"/>
    <x v="0"/>
    <x v="0"/>
    <s v="120 days"/>
    <n v="1"/>
    <s v="Packets"/>
    <m/>
    <m/>
    <m/>
    <x v="0"/>
    <m/>
    <s v="NA"/>
    <x v="0"/>
    <s v="N/A"/>
    <s v="N/A"/>
    <x v="0"/>
    <s v="N/A"/>
    <s v="N/A"/>
    <s v="No"/>
    <s v="N/A"/>
    <s v="N/A"/>
    <s v="No"/>
    <s v="N/A"/>
    <s v="N/A"/>
    <x v="1"/>
    <s v="N/A"/>
    <s v="N/A"/>
    <m/>
    <m/>
    <m/>
    <m/>
    <m/>
    <m/>
    <m/>
    <m/>
    <m/>
    <s v="Yes"/>
    <n v="1"/>
    <s v="Packets"/>
    <s v="Yes"/>
    <n v="1"/>
    <s v="Packets"/>
    <s v="Yes"/>
    <n v="1"/>
    <s v="Packets"/>
    <s v="Yes"/>
    <n v="1"/>
    <s v="Packets"/>
    <n v="700"/>
    <n v="900"/>
  </r>
  <r>
    <n v="16"/>
    <x v="0"/>
    <x v="15"/>
    <n v="0"/>
    <x v="0"/>
    <x v="0"/>
    <s v="Jwala Tejaswani"/>
    <s v="Kharif"/>
    <x v="0"/>
    <x v="0"/>
    <x v="0"/>
    <s v="120 days"/>
    <n v="1"/>
    <s v="Packets"/>
    <m/>
    <m/>
    <m/>
    <x v="0"/>
    <m/>
    <s v="NA"/>
    <x v="1"/>
    <n v="1"/>
    <s v="Packets"/>
    <x v="0"/>
    <s v="N/A"/>
    <s v="N/A"/>
    <s v="No"/>
    <s v="N/A"/>
    <s v="N/A"/>
    <s v="No"/>
    <s v="N/A"/>
    <s v="N/A"/>
    <x v="0"/>
    <n v="1"/>
    <s v="Packets"/>
    <m/>
    <m/>
    <m/>
    <m/>
    <m/>
    <m/>
    <m/>
    <m/>
    <m/>
    <s v="Yes"/>
    <n v="1"/>
    <s v="Packets"/>
    <s v="Yes"/>
    <n v="1"/>
    <s v="Packets"/>
    <s v="Yes"/>
    <n v="1"/>
    <s v="Packets"/>
    <s v="Yes"/>
    <n v="1"/>
    <s v="Packets"/>
    <n v="900"/>
    <n v="1100"/>
  </r>
  <r>
    <n v="17"/>
    <x v="1"/>
    <x v="16"/>
    <n v="0"/>
    <x v="0"/>
    <x v="1"/>
    <s v="Nirmala"/>
    <s v="Kharif"/>
    <x v="1"/>
    <x v="1"/>
    <x v="1"/>
    <m/>
    <m/>
    <m/>
    <m/>
    <m/>
    <m/>
    <x v="2"/>
    <m/>
    <m/>
    <x v="2"/>
    <m/>
    <m/>
    <x v="1"/>
    <m/>
    <m/>
    <m/>
    <m/>
    <m/>
    <s v="No"/>
    <s v="N/A"/>
    <s v="N/A"/>
    <x v="2"/>
    <m/>
    <m/>
    <m/>
    <m/>
    <m/>
    <m/>
    <m/>
    <m/>
    <m/>
    <m/>
    <m/>
    <m/>
    <m/>
    <m/>
    <m/>
    <m/>
    <m/>
    <m/>
    <m/>
    <m/>
    <m/>
    <m/>
    <m/>
    <m/>
    <n v="200"/>
  </r>
  <r>
    <n v="18"/>
    <x v="1"/>
    <x v="17"/>
    <n v="0"/>
    <x v="0"/>
    <x v="1"/>
    <s v="Nirmala"/>
    <s v="Kharif"/>
    <x v="1"/>
    <x v="1"/>
    <x v="1"/>
    <m/>
    <m/>
    <m/>
    <m/>
    <m/>
    <m/>
    <x v="2"/>
    <m/>
    <m/>
    <x v="2"/>
    <m/>
    <m/>
    <x v="1"/>
    <m/>
    <m/>
    <m/>
    <m/>
    <m/>
    <s v="No"/>
    <s v="N/A"/>
    <s v="N/A"/>
    <x v="2"/>
    <m/>
    <m/>
    <m/>
    <m/>
    <m/>
    <m/>
    <m/>
    <m/>
    <m/>
    <m/>
    <m/>
    <m/>
    <m/>
    <m/>
    <m/>
    <m/>
    <m/>
    <m/>
    <m/>
    <m/>
    <m/>
    <m/>
    <m/>
    <m/>
    <n v="200"/>
  </r>
  <r>
    <n v="19"/>
    <x v="1"/>
    <x v="18"/>
    <n v="0"/>
    <x v="0"/>
    <x v="1"/>
    <s v="Nirmala"/>
    <s v="Kharif"/>
    <x v="1"/>
    <x v="1"/>
    <x v="1"/>
    <m/>
    <m/>
    <m/>
    <m/>
    <m/>
    <m/>
    <x v="2"/>
    <m/>
    <m/>
    <x v="2"/>
    <m/>
    <m/>
    <x v="1"/>
    <m/>
    <m/>
    <m/>
    <m/>
    <m/>
    <s v="No"/>
    <s v="N/A"/>
    <s v="N/A"/>
    <x v="2"/>
    <m/>
    <m/>
    <m/>
    <m/>
    <m/>
    <m/>
    <m/>
    <m/>
    <m/>
    <m/>
    <m/>
    <m/>
    <m/>
    <m/>
    <m/>
    <m/>
    <m/>
    <m/>
    <m/>
    <m/>
    <m/>
    <m/>
    <m/>
    <m/>
    <n v="200"/>
  </r>
  <r>
    <n v="20"/>
    <x v="1"/>
    <x v="19"/>
    <n v="0"/>
    <x v="0"/>
    <x v="1"/>
    <s v="Narmada"/>
    <s v="Kharif"/>
    <x v="1"/>
    <x v="1"/>
    <x v="1"/>
    <m/>
    <m/>
    <m/>
    <m/>
    <m/>
    <m/>
    <x v="2"/>
    <m/>
    <m/>
    <x v="2"/>
    <m/>
    <m/>
    <x v="1"/>
    <m/>
    <m/>
    <m/>
    <m/>
    <m/>
    <s v="No"/>
    <s v="N/A"/>
    <s v="N/A"/>
    <x v="2"/>
    <m/>
    <m/>
    <m/>
    <m/>
    <m/>
    <m/>
    <m/>
    <m/>
    <m/>
    <m/>
    <m/>
    <m/>
    <m/>
    <m/>
    <m/>
    <m/>
    <m/>
    <m/>
    <m/>
    <m/>
    <m/>
    <m/>
    <m/>
    <m/>
    <n v="200"/>
  </r>
  <r>
    <n v="21"/>
    <x v="1"/>
    <x v="20"/>
    <n v="0"/>
    <x v="0"/>
    <x v="1"/>
    <s v="Narmada"/>
    <s v="Kharif"/>
    <x v="1"/>
    <x v="1"/>
    <x v="1"/>
    <m/>
    <m/>
    <m/>
    <m/>
    <m/>
    <m/>
    <x v="2"/>
    <m/>
    <m/>
    <x v="2"/>
    <m/>
    <m/>
    <x v="1"/>
    <m/>
    <m/>
    <m/>
    <m/>
    <m/>
    <s v="No"/>
    <s v="N/A"/>
    <s v="N/A"/>
    <x v="2"/>
    <m/>
    <m/>
    <m/>
    <m/>
    <m/>
    <m/>
    <m/>
    <m/>
    <m/>
    <m/>
    <m/>
    <m/>
    <m/>
    <m/>
    <m/>
    <m/>
    <m/>
    <m/>
    <m/>
    <m/>
    <m/>
    <m/>
    <m/>
    <m/>
    <n v="200"/>
  </r>
  <r>
    <n v="22"/>
    <x v="1"/>
    <x v="21"/>
    <n v="0"/>
    <x v="1"/>
    <x v="1"/>
    <s v="Narmada"/>
    <s v="Kharif"/>
    <x v="1"/>
    <x v="2"/>
    <x v="1"/>
    <s v="120 days"/>
    <n v="1"/>
    <s v="Packets"/>
    <m/>
    <m/>
    <m/>
    <x v="0"/>
    <m/>
    <s v="NA"/>
    <x v="0"/>
    <s v="N/A"/>
    <s v="N/A"/>
    <x v="0"/>
    <s v="N/A"/>
    <s v="N/A"/>
    <s v="No"/>
    <s v="N/A"/>
    <s v="N/A"/>
    <s v="No"/>
    <s v="N/A"/>
    <s v="N/A"/>
    <x v="1"/>
    <s v="N/A"/>
    <s v="N/A"/>
    <m/>
    <m/>
    <m/>
    <m/>
    <m/>
    <m/>
    <m/>
    <m/>
    <m/>
    <s v="Yes"/>
    <n v="1"/>
    <s v="Packets"/>
    <s v="Yes"/>
    <n v="1"/>
    <s v="Packets"/>
    <s v="Yes"/>
    <n v="1"/>
    <s v="Packets"/>
    <s v="Yes"/>
    <n v="1"/>
    <s v="Packets"/>
    <n v="800"/>
    <n v="1000"/>
  </r>
  <r>
    <n v="23"/>
    <x v="1"/>
    <x v="22"/>
    <n v="0"/>
    <x v="1"/>
    <x v="1"/>
    <s v="Narmada"/>
    <s v="Kharif"/>
    <x v="1"/>
    <x v="2"/>
    <x v="1"/>
    <s v="120 days"/>
    <n v="1"/>
    <s v="Packets"/>
    <m/>
    <m/>
    <m/>
    <x v="0"/>
    <m/>
    <s v="NA"/>
    <x v="0"/>
    <s v="N/A"/>
    <s v="N/A"/>
    <x v="0"/>
    <s v="N/A"/>
    <s v="N/A"/>
    <s v="No"/>
    <s v="N/A"/>
    <s v="N/A"/>
    <s v="No"/>
    <s v="N/A"/>
    <s v="N/A"/>
    <x v="1"/>
    <s v="N/A"/>
    <s v="N/A"/>
    <m/>
    <m/>
    <m/>
    <m/>
    <m/>
    <m/>
    <m/>
    <m/>
    <m/>
    <s v="Yes"/>
    <n v="1"/>
    <s v="Packets"/>
    <s v="Yes"/>
    <n v="1"/>
    <s v="Packets"/>
    <s v="Yes"/>
    <n v="1"/>
    <s v="Packets"/>
    <s v="Yes"/>
    <n v="1"/>
    <s v="Packets"/>
    <n v="600"/>
    <n v="800"/>
  </r>
  <r>
    <n v="24"/>
    <x v="1"/>
    <x v="23"/>
    <n v="0"/>
    <x v="1"/>
    <x v="1"/>
    <s v="Narmada"/>
    <s v="Kharif"/>
    <x v="1"/>
    <x v="2"/>
    <x v="1"/>
    <s v="120 days"/>
    <n v="1"/>
    <s v="Packets"/>
    <m/>
    <m/>
    <m/>
    <x v="0"/>
    <m/>
    <s v="NA"/>
    <x v="0"/>
    <s v="N/A"/>
    <s v="N/A"/>
    <x v="0"/>
    <s v="N/A"/>
    <s v="N/A"/>
    <s v="No"/>
    <s v="N/A"/>
    <s v="N/A"/>
    <s v="No"/>
    <s v="N/A"/>
    <s v="N/A"/>
    <x v="1"/>
    <s v="N/A"/>
    <s v="N/A"/>
    <m/>
    <m/>
    <m/>
    <m/>
    <m/>
    <m/>
    <m/>
    <m/>
    <m/>
    <s v="Yes"/>
    <n v="1"/>
    <s v="Packets"/>
    <s v="Yes"/>
    <n v="1"/>
    <s v="Packets"/>
    <s v="Yes"/>
    <n v="1"/>
    <s v="Packets"/>
    <s v="Yes"/>
    <n v="1"/>
    <s v="Packets"/>
    <n v="700"/>
    <n v="900"/>
  </r>
  <r>
    <n v="25"/>
    <x v="1"/>
    <x v="24"/>
    <n v="0"/>
    <x v="1"/>
    <x v="1"/>
    <s v="Narmada"/>
    <s v="Kharif"/>
    <x v="0"/>
    <x v="0"/>
    <x v="0"/>
    <s v="120 days"/>
    <n v="1"/>
    <s v="Packets"/>
    <m/>
    <m/>
    <m/>
    <x v="0"/>
    <m/>
    <s v="NA"/>
    <x v="0"/>
    <s v="N/A"/>
    <s v="N/A"/>
    <x v="0"/>
    <s v="N/A"/>
    <s v="N/A"/>
    <s v="No"/>
    <s v="N/A"/>
    <s v="N/A"/>
    <s v="No"/>
    <s v="N/A"/>
    <s v="N/A"/>
    <x v="1"/>
    <s v="N/A"/>
    <s v="N/A"/>
    <m/>
    <m/>
    <m/>
    <m/>
    <m/>
    <m/>
    <m/>
    <m/>
    <m/>
    <s v="Yes"/>
    <n v="1"/>
    <s v="Packets"/>
    <s v="Yes"/>
    <n v="1"/>
    <s v="Packets"/>
    <s v="Yes"/>
    <n v="1"/>
    <s v="Packets"/>
    <s v="Yes"/>
    <n v="1"/>
    <s v="Packets"/>
    <n v="900"/>
    <n v="1100"/>
  </r>
  <r>
    <n v="26"/>
    <x v="1"/>
    <x v="25"/>
    <n v="0"/>
    <x v="1"/>
    <x v="1"/>
    <s v="Narmada"/>
    <s v="Kharif"/>
    <x v="0"/>
    <x v="0"/>
    <x v="0"/>
    <s v="120 days"/>
    <n v="1"/>
    <s v="Packets"/>
    <m/>
    <m/>
    <m/>
    <x v="0"/>
    <m/>
    <s v="NA"/>
    <x v="0"/>
    <s v="N/A"/>
    <s v="N/A"/>
    <x v="0"/>
    <s v="N/A"/>
    <s v="N/A"/>
    <s v="No"/>
    <s v="N/A"/>
    <s v="N/A"/>
    <s v="No"/>
    <s v="N/A"/>
    <s v="N/A"/>
    <x v="1"/>
    <s v="N/A"/>
    <s v="N/A"/>
    <m/>
    <m/>
    <m/>
    <m/>
    <m/>
    <m/>
    <m/>
    <m/>
    <m/>
    <s v="Yes"/>
    <n v="1"/>
    <s v="Packets"/>
    <s v="Yes"/>
    <n v="1"/>
    <s v="Packets"/>
    <s v="Yes"/>
    <n v="1"/>
    <s v="Packets"/>
    <s v="Yes"/>
    <n v="1"/>
    <s v="Packets"/>
    <n v="800"/>
    <n v="1000"/>
  </r>
  <r>
    <n v="27"/>
    <x v="1"/>
    <x v="26"/>
    <n v="0"/>
    <x v="1"/>
    <x v="1"/>
    <s v="Narmada"/>
    <s v="Kharif"/>
    <x v="0"/>
    <x v="0"/>
    <x v="0"/>
    <s v="120 days"/>
    <n v="1"/>
    <s v="Packets"/>
    <m/>
    <m/>
    <m/>
    <x v="0"/>
    <m/>
    <s v="NA"/>
    <x v="0"/>
    <s v="N/A"/>
    <s v="N/A"/>
    <x v="0"/>
    <s v="N/A"/>
    <s v="N/A"/>
    <s v="No"/>
    <s v="N/A"/>
    <s v="N/A"/>
    <s v="No"/>
    <s v="N/A"/>
    <s v="N/A"/>
    <x v="1"/>
    <s v="N/A"/>
    <s v="N/A"/>
    <m/>
    <m/>
    <m/>
    <m/>
    <m/>
    <m/>
    <m/>
    <m/>
    <m/>
    <s v="Yes"/>
    <n v="1"/>
    <s v="Packets"/>
    <s v="Yes"/>
    <n v="1"/>
    <s v="Packets"/>
    <s v="Yes"/>
    <n v="1"/>
    <s v="Packets"/>
    <s v="Yes"/>
    <n v="1"/>
    <s v="Packets"/>
    <n v="600"/>
    <n v="800"/>
  </r>
  <r>
    <n v="28"/>
    <x v="1"/>
    <x v="26"/>
    <n v="0"/>
    <x v="0"/>
    <x v="1"/>
    <s v="Narmada"/>
    <s v="Kharif"/>
    <x v="0"/>
    <x v="0"/>
    <x v="0"/>
    <s v="120 days"/>
    <n v="1"/>
    <s v="Packets"/>
    <m/>
    <m/>
    <m/>
    <x v="0"/>
    <m/>
    <s v="NA"/>
    <x v="0"/>
    <s v="N/A"/>
    <s v="N/A"/>
    <x v="0"/>
    <s v="N/A"/>
    <s v="N/A"/>
    <s v="No"/>
    <s v="N/A"/>
    <s v="N/A"/>
    <s v="No"/>
    <s v="N/A"/>
    <s v="N/A"/>
    <x v="1"/>
    <s v="N/A"/>
    <s v="N/A"/>
    <m/>
    <m/>
    <m/>
    <m/>
    <m/>
    <m/>
    <m/>
    <m/>
    <m/>
    <s v="Yes"/>
    <n v="1"/>
    <s v="Packets"/>
    <s v="Yes"/>
    <n v="1"/>
    <s v="Packets"/>
    <s v="Yes"/>
    <n v="1"/>
    <s v="Packets"/>
    <s v="Yes"/>
    <n v="1"/>
    <s v="Packets"/>
    <n v="700"/>
    <n v="900"/>
  </r>
  <r>
    <n v="29"/>
    <x v="1"/>
    <x v="26"/>
    <n v="0"/>
    <x v="0"/>
    <x v="1"/>
    <s v="Narmada"/>
    <s v="Kharif"/>
    <x v="0"/>
    <x v="0"/>
    <x v="0"/>
    <s v="120 days"/>
    <n v="1"/>
    <s v="Packets"/>
    <m/>
    <m/>
    <m/>
    <x v="0"/>
    <m/>
    <s v="NA"/>
    <x v="0"/>
    <s v="N/A"/>
    <s v="N/A"/>
    <x v="0"/>
    <s v="N/A"/>
    <s v="N/A"/>
    <s v="No"/>
    <s v="N/A"/>
    <s v="N/A"/>
    <s v="No"/>
    <s v="N/A"/>
    <s v="N/A"/>
    <x v="1"/>
    <s v="N/A"/>
    <s v="N/A"/>
    <m/>
    <m/>
    <m/>
    <m/>
    <m/>
    <m/>
    <m/>
    <m/>
    <m/>
    <s v="Yes"/>
    <n v="1"/>
    <s v="Packets"/>
    <s v="Yes"/>
    <n v="1"/>
    <s v="Packets"/>
    <s v="Yes"/>
    <n v="1"/>
    <s v="Packets"/>
    <s v="Yes"/>
    <n v="1"/>
    <s v="Packets"/>
    <n v="900"/>
    <n v="1100"/>
  </r>
  <r>
    <n v="30"/>
    <x v="1"/>
    <x v="27"/>
    <n v="0"/>
    <x v="0"/>
    <x v="1"/>
    <s v="Narmada"/>
    <s v="Kharif"/>
    <x v="0"/>
    <x v="0"/>
    <x v="0"/>
    <s v="120 days"/>
    <n v="1"/>
    <s v="Packets"/>
    <m/>
    <m/>
    <m/>
    <x v="0"/>
    <m/>
    <s v="NA"/>
    <x v="0"/>
    <s v="N/A"/>
    <s v="N/A"/>
    <x v="0"/>
    <s v="N/A"/>
    <s v="N/A"/>
    <s v="No"/>
    <s v="N/A"/>
    <s v="N/A"/>
    <s v="No"/>
    <s v="N/A"/>
    <s v="N/A"/>
    <x v="1"/>
    <s v="N/A"/>
    <s v="N/A"/>
    <m/>
    <m/>
    <m/>
    <m/>
    <m/>
    <m/>
    <m/>
    <m/>
    <m/>
    <s v="Yes"/>
    <n v="1"/>
    <s v="Packets"/>
    <s v="Yes"/>
    <n v="1"/>
    <s v="Packets"/>
    <s v="Yes"/>
    <n v="1"/>
    <s v="Packets"/>
    <s v="Yes"/>
    <n v="1"/>
    <s v="Packets"/>
    <n v="900"/>
    <n v="1100"/>
  </r>
  <r>
    <n v="31"/>
    <x v="1"/>
    <x v="28"/>
    <n v="0"/>
    <x v="1"/>
    <x v="1"/>
    <s v="Narmada"/>
    <s v="Kharif"/>
    <x v="0"/>
    <x v="0"/>
    <x v="0"/>
    <s v="120 days"/>
    <n v="1"/>
    <s v="Packets"/>
    <m/>
    <m/>
    <m/>
    <x v="0"/>
    <m/>
    <s v="NA"/>
    <x v="0"/>
    <s v="N/A"/>
    <s v="N/A"/>
    <x v="0"/>
    <s v="N/A"/>
    <s v="N/A"/>
    <s v="No"/>
    <s v="N/A"/>
    <s v="N/A"/>
    <s v="No"/>
    <s v="N/A"/>
    <s v="N/A"/>
    <x v="1"/>
    <s v="N/A"/>
    <s v="N/A"/>
    <m/>
    <m/>
    <m/>
    <m/>
    <m/>
    <m/>
    <m/>
    <m/>
    <m/>
    <s v="Yes"/>
    <n v="1"/>
    <s v="Packets"/>
    <s v="Yes"/>
    <n v="1"/>
    <s v="Packets"/>
    <s v="Yes"/>
    <n v="1"/>
    <s v="Packets"/>
    <s v="Yes"/>
    <n v="1"/>
    <s v="Packets"/>
    <n v="900"/>
    <n v="1100"/>
  </r>
  <r>
    <n v="32"/>
    <x v="1"/>
    <x v="29"/>
    <n v="0"/>
    <x v="1"/>
    <x v="1"/>
    <s v="Kiran"/>
    <s v="Kharif"/>
    <x v="0"/>
    <x v="0"/>
    <x v="0"/>
    <s v="120 days"/>
    <n v="1"/>
    <s v="Packets"/>
    <m/>
    <m/>
    <m/>
    <x v="0"/>
    <m/>
    <s v="NA"/>
    <x v="0"/>
    <s v="N/A"/>
    <s v="N/A"/>
    <x v="0"/>
    <s v="N/A"/>
    <s v="N/A"/>
    <s v="No"/>
    <s v="N/A"/>
    <s v="N/A"/>
    <s v="No"/>
    <s v="N/A"/>
    <s v="N/A"/>
    <x v="1"/>
    <s v="N/A"/>
    <s v="N/A"/>
    <m/>
    <m/>
    <m/>
    <m/>
    <m/>
    <m/>
    <m/>
    <m/>
    <m/>
    <s v="Yes"/>
    <n v="1"/>
    <s v="Packets"/>
    <s v="Yes"/>
    <n v="1"/>
    <s v="Packets"/>
    <s v="Yes"/>
    <n v="1"/>
    <s v="Packets"/>
    <s v="Yes"/>
    <n v="1"/>
    <s v="Packets"/>
    <n v="900"/>
    <n v="1100"/>
  </r>
  <r>
    <n v="33"/>
    <x v="1"/>
    <x v="30"/>
    <n v="0"/>
    <x v="1"/>
    <x v="1"/>
    <s v="Kiran"/>
    <s v="Kharif"/>
    <x v="1"/>
    <x v="3"/>
    <x v="1"/>
    <m/>
    <m/>
    <m/>
    <m/>
    <m/>
    <m/>
    <x v="2"/>
    <m/>
    <m/>
    <x v="2"/>
    <m/>
    <m/>
    <x v="0"/>
    <s v="N/A"/>
    <s v="N/A"/>
    <s v="No"/>
    <s v="N/A"/>
    <s v="N/A"/>
    <s v="No"/>
    <s v="N/A"/>
    <s v="N/A"/>
    <x v="2"/>
    <m/>
    <m/>
    <m/>
    <m/>
    <m/>
    <m/>
    <m/>
    <m/>
    <m/>
    <m/>
    <m/>
    <m/>
    <m/>
    <m/>
    <m/>
    <m/>
    <m/>
    <m/>
    <m/>
    <m/>
    <m/>
    <m/>
    <m/>
    <m/>
    <n v="200"/>
  </r>
  <r>
    <n v="34"/>
    <x v="1"/>
    <x v="31"/>
    <n v="0"/>
    <x v="1"/>
    <x v="1"/>
    <s v="Kiran"/>
    <s v="Kharif"/>
    <x v="1"/>
    <x v="3"/>
    <x v="1"/>
    <m/>
    <m/>
    <m/>
    <m/>
    <m/>
    <m/>
    <x v="2"/>
    <m/>
    <m/>
    <x v="2"/>
    <m/>
    <m/>
    <x v="0"/>
    <s v="N/A"/>
    <s v="N/A"/>
    <s v="No"/>
    <s v="N/A"/>
    <s v="N/A"/>
    <s v="No"/>
    <s v="N/A"/>
    <s v="N/A"/>
    <x v="2"/>
    <m/>
    <m/>
    <m/>
    <m/>
    <m/>
    <m/>
    <m/>
    <m/>
    <m/>
    <m/>
    <m/>
    <m/>
    <m/>
    <m/>
    <m/>
    <m/>
    <m/>
    <m/>
    <m/>
    <m/>
    <m/>
    <m/>
    <m/>
    <m/>
    <n v="200"/>
  </r>
  <r>
    <n v="35"/>
    <x v="1"/>
    <x v="32"/>
    <n v="0"/>
    <x v="1"/>
    <x v="1"/>
    <s v="Kiran"/>
    <s v="Kharif"/>
    <x v="1"/>
    <x v="3"/>
    <x v="1"/>
    <m/>
    <m/>
    <m/>
    <m/>
    <m/>
    <m/>
    <x v="2"/>
    <m/>
    <m/>
    <x v="2"/>
    <m/>
    <m/>
    <x v="0"/>
    <s v="N/A"/>
    <s v="N/A"/>
    <s v="No"/>
    <s v="N/A"/>
    <s v="N/A"/>
    <s v="No"/>
    <s v="N/A"/>
    <s v="N/A"/>
    <x v="2"/>
    <m/>
    <m/>
    <m/>
    <m/>
    <m/>
    <m/>
    <m/>
    <m/>
    <m/>
    <m/>
    <m/>
    <m/>
    <m/>
    <m/>
    <m/>
    <m/>
    <m/>
    <m/>
    <m/>
    <m/>
    <m/>
    <m/>
    <m/>
    <m/>
    <n v="200"/>
  </r>
  <r>
    <n v="36"/>
    <x v="1"/>
    <x v="33"/>
    <n v="0"/>
    <x v="1"/>
    <x v="1"/>
    <s v="Kiran"/>
    <s v="Kharif"/>
    <x v="1"/>
    <x v="3"/>
    <x v="1"/>
    <m/>
    <m/>
    <m/>
    <m/>
    <m/>
    <m/>
    <x v="2"/>
    <m/>
    <m/>
    <x v="2"/>
    <m/>
    <m/>
    <x v="0"/>
    <s v="N/A"/>
    <s v="N/A"/>
    <s v="No"/>
    <s v="N/A"/>
    <s v="N/A"/>
    <s v="No"/>
    <s v="N/A"/>
    <s v="N/A"/>
    <x v="2"/>
    <m/>
    <m/>
    <m/>
    <m/>
    <m/>
    <m/>
    <m/>
    <m/>
    <m/>
    <m/>
    <m/>
    <m/>
    <m/>
    <m/>
    <m/>
    <m/>
    <m/>
    <m/>
    <m/>
    <m/>
    <m/>
    <m/>
    <m/>
    <m/>
    <n v="200"/>
  </r>
  <r>
    <n v="37"/>
    <x v="1"/>
    <x v="34"/>
    <n v="0"/>
    <x v="1"/>
    <x v="1"/>
    <s v="Kiran"/>
    <s v="Kharif"/>
    <x v="1"/>
    <x v="3"/>
    <x v="1"/>
    <m/>
    <m/>
    <m/>
    <m/>
    <m/>
    <m/>
    <x v="2"/>
    <m/>
    <m/>
    <x v="2"/>
    <m/>
    <m/>
    <x v="0"/>
    <s v="N/A"/>
    <s v="N/A"/>
    <s v="No"/>
    <s v="N/A"/>
    <s v="N/A"/>
    <s v="No"/>
    <s v="N/A"/>
    <s v="N/A"/>
    <x v="2"/>
    <m/>
    <m/>
    <m/>
    <m/>
    <m/>
    <m/>
    <m/>
    <m/>
    <m/>
    <m/>
    <m/>
    <m/>
    <m/>
    <m/>
    <m/>
    <m/>
    <m/>
    <m/>
    <m/>
    <m/>
    <m/>
    <m/>
    <m/>
    <m/>
    <n v="200"/>
  </r>
  <r>
    <n v="38"/>
    <x v="1"/>
    <x v="35"/>
    <n v="0"/>
    <x v="1"/>
    <x v="1"/>
    <s v="Kiran"/>
    <s v="Kharif"/>
    <x v="1"/>
    <x v="4"/>
    <x v="1"/>
    <m/>
    <m/>
    <m/>
    <m/>
    <m/>
    <m/>
    <x v="2"/>
    <m/>
    <m/>
    <x v="2"/>
    <m/>
    <m/>
    <x v="0"/>
    <s v="N/A"/>
    <s v="N/A"/>
    <s v="No"/>
    <s v="N/A"/>
    <s v="N/A"/>
    <s v="No"/>
    <s v="N/A"/>
    <s v="N/A"/>
    <x v="2"/>
    <m/>
    <m/>
    <m/>
    <m/>
    <m/>
    <m/>
    <m/>
    <m/>
    <m/>
    <m/>
    <m/>
    <m/>
    <m/>
    <m/>
    <m/>
    <m/>
    <m/>
    <m/>
    <m/>
    <m/>
    <m/>
    <m/>
    <m/>
    <m/>
    <n v="200"/>
  </r>
  <r>
    <n v="39"/>
    <x v="1"/>
    <x v="36"/>
    <n v="0"/>
    <x v="1"/>
    <x v="1"/>
    <s v="Kiran"/>
    <s v="Kharif"/>
    <x v="1"/>
    <x v="4"/>
    <x v="1"/>
    <m/>
    <m/>
    <m/>
    <m/>
    <m/>
    <m/>
    <x v="2"/>
    <m/>
    <m/>
    <x v="2"/>
    <m/>
    <m/>
    <x v="0"/>
    <s v="N/A"/>
    <s v="N/A"/>
    <s v="No"/>
    <s v="N/A"/>
    <s v="N/A"/>
    <s v="No"/>
    <s v="N/A"/>
    <s v="N/A"/>
    <x v="2"/>
    <m/>
    <m/>
    <m/>
    <m/>
    <m/>
    <m/>
    <m/>
    <m/>
    <m/>
    <m/>
    <m/>
    <m/>
    <m/>
    <m/>
    <m/>
    <m/>
    <m/>
    <m/>
    <m/>
    <m/>
    <m/>
    <m/>
    <m/>
    <m/>
    <n v="200"/>
  </r>
  <r>
    <n v="40"/>
    <x v="1"/>
    <x v="37"/>
    <n v="0"/>
    <x v="1"/>
    <x v="1"/>
    <s v="Kiran"/>
    <s v="Kharif"/>
    <x v="1"/>
    <x v="4"/>
    <x v="1"/>
    <m/>
    <m/>
    <m/>
    <m/>
    <m/>
    <m/>
    <x v="2"/>
    <m/>
    <m/>
    <x v="2"/>
    <m/>
    <m/>
    <x v="0"/>
    <s v="N/A"/>
    <s v="N/A"/>
    <s v="No"/>
    <s v="N/A"/>
    <s v="N/A"/>
    <s v="No"/>
    <s v="N/A"/>
    <s v="N/A"/>
    <x v="2"/>
    <m/>
    <m/>
    <m/>
    <m/>
    <m/>
    <m/>
    <m/>
    <m/>
    <m/>
    <m/>
    <m/>
    <m/>
    <m/>
    <m/>
    <m/>
    <m/>
    <m/>
    <m/>
    <m/>
    <m/>
    <m/>
    <m/>
    <m/>
    <m/>
    <n v="200"/>
  </r>
  <r>
    <n v="41"/>
    <x v="1"/>
    <x v="38"/>
    <n v="0"/>
    <x v="1"/>
    <x v="1"/>
    <s v="Kiran"/>
    <s v="Kharif"/>
    <x v="0"/>
    <x v="0"/>
    <x v="0"/>
    <s v="120 days"/>
    <n v="1"/>
    <s v="Packets"/>
    <m/>
    <m/>
    <m/>
    <x v="0"/>
    <m/>
    <s v="NA"/>
    <x v="0"/>
    <s v="N/A"/>
    <s v="N/A"/>
    <x v="0"/>
    <s v="N/A"/>
    <s v="N/A"/>
    <s v="No"/>
    <s v="N/A"/>
    <s v="N/A"/>
    <s v="No"/>
    <s v="N/A"/>
    <s v="N/A"/>
    <x v="1"/>
    <s v="N/A"/>
    <s v="N/A"/>
    <m/>
    <m/>
    <m/>
    <m/>
    <m/>
    <m/>
    <m/>
    <m/>
    <m/>
    <s v="Yes"/>
    <n v="1"/>
    <s v="Packets"/>
    <s v="Yes"/>
    <n v="1"/>
    <s v="Packets"/>
    <s v="Yes"/>
    <n v="1"/>
    <s v="Packets"/>
    <s v="Yes"/>
    <n v="1"/>
    <s v="Packets"/>
    <n v="900"/>
    <n v="1100"/>
  </r>
  <r>
    <n v="42"/>
    <x v="1"/>
    <x v="39"/>
    <n v="0"/>
    <x v="0"/>
    <x v="1"/>
    <s v="Kiran"/>
    <s v="Kharif"/>
    <x v="0"/>
    <x v="0"/>
    <x v="0"/>
    <s v="120 days"/>
    <n v="1"/>
    <s v="Packets"/>
    <m/>
    <m/>
    <m/>
    <x v="0"/>
    <m/>
    <s v="NA"/>
    <x v="0"/>
    <s v="N/A"/>
    <s v="N/A"/>
    <x v="0"/>
    <s v="N/A"/>
    <s v="N/A"/>
    <s v="No"/>
    <s v="N/A"/>
    <s v="N/A"/>
    <s v="No"/>
    <s v="N/A"/>
    <s v="N/A"/>
    <x v="1"/>
    <s v="N/A"/>
    <s v="N/A"/>
    <m/>
    <m/>
    <m/>
    <m/>
    <m/>
    <m/>
    <m/>
    <m/>
    <m/>
    <s v="Yes"/>
    <n v="1"/>
    <s v="Packets"/>
    <s v="Yes"/>
    <n v="1"/>
    <s v="Packets"/>
    <s v="Yes"/>
    <n v="1"/>
    <s v="Packets"/>
    <s v="Yes"/>
    <n v="1"/>
    <s v="Packets"/>
    <n v="900"/>
    <n v="1100"/>
  </r>
  <r>
    <n v="43"/>
    <x v="1"/>
    <x v="40"/>
    <n v="0"/>
    <x v="1"/>
    <x v="1"/>
    <s v="Kiran"/>
    <s v="Kharif"/>
    <x v="0"/>
    <x v="0"/>
    <x v="0"/>
    <s v="120 days"/>
    <n v="1"/>
    <s v="Packets"/>
    <m/>
    <m/>
    <m/>
    <x v="0"/>
    <m/>
    <s v="NA"/>
    <x v="0"/>
    <s v="N/A"/>
    <s v="N/A"/>
    <x v="0"/>
    <s v="N/A"/>
    <s v="N/A"/>
    <s v="No"/>
    <s v="N/A"/>
    <s v="N/A"/>
    <s v="No"/>
    <s v="N/A"/>
    <s v="N/A"/>
    <x v="1"/>
    <s v="N/A"/>
    <s v="N/A"/>
    <m/>
    <m/>
    <m/>
    <m/>
    <m/>
    <m/>
    <m/>
    <m/>
    <m/>
    <s v="Yes"/>
    <n v="1"/>
    <s v="Packets"/>
    <s v="Yes"/>
    <n v="1"/>
    <s v="Packets"/>
    <s v="Yes"/>
    <n v="1"/>
    <s v="Packets"/>
    <s v="Yes"/>
    <n v="1"/>
    <s v="Packets"/>
    <n v="900"/>
    <n v="1100"/>
  </r>
  <r>
    <n v="44"/>
    <x v="1"/>
    <x v="41"/>
    <n v="0"/>
    <x v="0"/>
    <x v="1"/>
    <s v="Safed Palash"/>
    <s v="Kharif"/>
    <x v="0"/>
    <x v="0"/>
    <x v="0"/>
    <s v="120 days"/>
    <n v="1"/>
    <s v="Packets"/>
    <m/>
    <m/>
    <m/>
    <x v="0"/>
    <m/>
    <s v="NA"/>
    <x v="0"/>
    <s v="N/A"/>
    <s v="N/A"/>
    <x v="0"/>
    <s v="N/A"/>
    <s v="N/A"/>
    <s v="No"/>
    <s v="N/A"/>
    <s v="N/A"/>
    <s v="No"/>
    <s v="N/A"/>
    <s v="N/A"/>
    <x v="1"/>
    <s v="N/A"/>
    <s v="N/A"/>
    <m/>
    <m/>
    <m/>
    <m/>
    <m/>
    <m/>
    <m/>
    <m/>
    <m/>
    <s v="Yes"/>
    <n v="1"/>
    <s v="Packets"/>
    <s v="Yes"/>
    <n v="1"/>
    <s v="Packets"/>
    <s v="Yes"/>
    <n v="1"/>
    <s v="Packets"/>
    <s v="Yes"/>
    <n v="1"/>
    <s v="Packets"/>
    <n v="900"/>
    <n v="1100"/>
  </r>
  <r>
    <n v="45"/>
    <x v="1"/>
    <x v="42"/>
    <n v="0"/>
    <x v="0"/>
    <x v="1"/>
    <s v="Safed Palash"/>
    <s v="Kharif"/>
    <x v="0"/>
    <x v="0"/>
    <x v="0"/>
    <s v="120 days"/>
    <n v="1"/>
    <s v="Packets"/>
    <m/>
    <m/>
    <m/>
    <x v="0"/>
    <m/>
    <s v="NA"/>
    <x v="0"/>
    <s v="N/A"/>
    <s v="N/A"/>
    <x v="0"/>
    <s v="N/A"/>
    <s v="N/A"/>
    <s v="No"/>
    <s v="N/A"/>
    <s v="N/A"/>
    <s v="No"/>
    <s v="N/A"/>
    <s v="N/A"/>
    <x v="1"/>
    <s v="N/A"/>
    <s v="N/A"/>
    <m/>
    <m/>
    <m/>
    <m/>
    <m/>
    <m/>
    <m/>
    <m/>
    <m/>
    <s v="Yes"/>
    <n v="1"/>
    <s v="Packets"/>
    <s v="Yes"/>
    <n v="1"/>
    <s v="Packets"/>
    <s v="Yes"/>
    <n v="1"/>
    <s v="Packets"/>
    <s v="Yes"/>
    <n v="1"/>
    <s v="Packets"/>
    <n v="900"/>
    <n v="1100"/>
  </r>
  <r>
    <n v="46"/>
    <x v="2"/>
    <x v="43"/>
    <n v="0"/>
    <x v="1"/>
    <x v="2"/>
    <s v="Maa Narmada"/>
    <s v="Kharif"/>
    <x v="0"/>
    <x v="0"/>
    <x v="0"/>
    <s v="120 days"/>
    <n v="1"/>
    <s v="Packets"/>
    <m/>
    <m/>
    <m/>
    <x v="0"/>
    <m/>
    <s v="NA"/>
    <x v="0"/>
    <s v="N/A"/>
    <s v="N/A"/>
    <x v="0"/>
    <s v="N/A"/>
    <s v="N/A"/>
    <s v="No"/>
    <s v="N/A"/>
    <s v="N/A"/>
    <s v="No"/>
    <s v="N/A"/>
    <s v="N/A"/>
    <x v="1"/>
    <s v="N/A"/>
    <s v="N/A"/>
    <m/>
    <m/>
    <m/>
    <m/>
    <m/>
    <m/>
    <m/>
    <m/>
    <m/>
    <s v="Yes"/>
    <n v="1"/>
    <s v="Packets"/>
    <s v="Yes"/>
    <n v="1"/>
    <s v="Packets"/>
    <s v="Yes"/>
    <n v="1"/>
    <s v="Packets"/>
    <s v="Yes"/>
    <n v="1"/>
    <s v="Packets"/>
    <n v="900"/>
    <n v="1100"/>
  </r>
  <r>
    <n v="47"/>
    <x v="2"/>
    <x v="44"/>
    <n v="0"/>
    <x v="1"/>
    <x v="2"/>
    <s v="Maa Narmada"/>
    <s v="Kharif"/>
    <x v="0"/>
    <x v="0"/>
    <x v="0"/>
    <s v="120 days"/>
    <n v="1"/>
    <s v="Packets"/>
    <m/>
    <m/>
    <m/>
    <x v="0"/>
    <m/>
    <s v="NA"/>
    <x v="0"/>
    <s v="N/A"/>
    <s v="N/A"/>
    <x v="0"/>
    <s v="N/A"/>
    <s v="N/A"/>
    <s v="No"/>
    <s v="N/A"/>
    <s v="N/A"/>
    <s v="No"/>
    <s v="N/A"/>
    <s v="N/A"/>
    <x v="1"/>
    <s v="N/A"/>
    <s v="N/A"/>
    <m/>
    <m/>
    <m/>
    <m/>
    <m/>
    <m/>
    <m/>
    <m/>
    <m/>
    <s v="Yes"/>
    <n v="1"/>
    <s v="Packets"/>
    <s v="Yes"/>
    <n v="1"/>
    <s v="Packets"/>
    <s v="Yes"/>
    <n v="1"/>
    <s v="Packets"/>
    <s v="Yes"/>
    <n v="1"/>
    <s v="Packets"/>
    <n v="900"/>
    <n v="1100"/>
  </r>
  <r>
    <n v="48"/>
    <x v="2"/>
    <x v="45"/>
    <n v="0"/>
    <x v="1"/>
    <x v="2"/>
    <s v="Maa Narmada"/>
    <s v="Kharif"/>
    <x v="1"/>
    <x v="2"/>
    <x v="1"/>
    <m/>
    <m/>
    <m/>
    <m/>
    <m/>
    <m/>
    <x v="2"/>
    <m/>
    <m/>
    <x v="2"/>
    <m/>
    <m/>
    <x v="1"/>
    <m/>
    <m/>
    <m/>
    <m/>
    <m/>
    <m/>
    <m/>
    <m/>
    <x v="2"/>
    <m/>
    <m/>
    <m/>
    <m/>
    <m/>
    <m/>
    <m/>
    <m/>
    <m/>
    <m/>
    <m/>
    <m/>
    <m/>
    <m/>
    <m/>
    <m/>
    <m/>
    <m/>
    <m/>
    <m/>
    <m/>
    <m/>
    <m/>
    <m/>
    <n v="200"/>
  </r>
  <r>
    <n v="49"/>
    <x v="2"/>
    <x v="46"/>
    <n v="0"/>
    <x v="1"/>
    <x v="2"/>
    <s v="Maa Narmada"/>
    <s v="Kharif"/>
    <x v="1"/>
    <x v="3"/>
    <x v="1"/>
    <m/>
    <m/>
    <m/>
    <m/>
    <m/>
    <m/>
    <x v="2"/>
    <m/>
    <m/>
    <x v="2"/>
    <m/>
    <m/>
    <x v="1"/>
    <m/>
    <m/>
    <m/>
    <m/>
    <m/>
    <m/>
    <m/>
    <m/>
    <x v="2"/>
    <m/>
    <m/>
    <m/>
    <m/>
    <m/>
    <m/>
    <m/>
    <m/>
    <m/>
    <m/>
    <m/>
    <m/>
    <m/>
    <m/>
    <m/>
    <m/>
    <m/>
    <m/>
    <m/>
    <m/>
    <m/>
    <m/>
    <m/>
    <m/>
    <n v="200"/>
  </r>
  <r>
    <n v="50"/>
    <x v="2"/>
    <x v="47"/>
    <n v="0"/>
    <x v="1"/>
    <x v="2"/>
    <s v="Maa Narmada"/>
    <s v="Kharif"/>
    <x v="1"/>
    <x v="4"/>
    <x v="1"/>
    <m/>
    <m/>
    <m/>
    <m/>
    <m/>
    <m/>
    <x v="2"/>
    <m/>
    <m/>
    <x v="2"/>
    <m/>
    <m/>
    <x v="1"/>
    <m/>
    <m/>
    <m/>
    <m/>
    <m/>
    <m/>
    <m/>
    <m/>
    <x v="2"/>
    <m/>
    <m/>
    <m/>
    <m/>
    <m/>
    <m/>
    <m/>
    <m/>
    <m/>
    <m/>
    <m/>
    <m/>
    <m/>
    <m/>
    <m/>
    <m/>
    <m/>
    <m/>
    <m/>
    <m/>
    <m/>
    <m/>
    <m/>
    <m/>
    <n v="200"/>
  </r>
  <r>
    <n v="51"/>
    <x v="2"/>
    <x v="48"/>
    <n v="0"/>
    <x v="1"/>
    <x v="2"/>
    <s v="Maa Narmada"/>
    <s v="Kharif"/>
    <x v="1"/>
    <x v="4"/>
    <x v="1"/>
    <m/>
    <m/>
    <m/>
    <m/>
    <m/>
    <m/>
    <x v="2"/>
    <m/>
    <m/>
    <x v="2"/>
    <m/>
    <m/>
    <x v="1"/>
    <m/>
    <m/>
    <m/>
    <m/>
    <m/>
    <m/>
    <m/>
    <m/>
    <x v="2"/>
    <m/>
    <m/>
    <m/>
    <m/>
    <m/>
    <m/>
    <m/>
    <m/>
    <m/>
    <m/>
    <m/>
    <m/>
    <m/>
    <m/>
    <m/>
    <m/>
    <m/>
    <m/>
    <m/>
    <m/>
    <m/>
    <m/>
    <m/>
    <m/>
    <n v="200"/>
  </r>
  <r>
    <n v="52"/>
    <x v="2"/>
    <x v="49"/>
    <n v="0"/>
    <x v="1"/>
    <x v="2"/>
    <s v="Maa Narmada"/>
    <s v="Kharif"/>
    <x v="1"/>
    <x v="4"/>
    <x v="1"/>
    <m/>
    <m/>
    <m/>
    <m/>
    <m/>
    <m/>
    <x v="2"/>
    <m/>
    <m/>
    <x v="2"/>
    <m/>
    <m/>
    <x v="1"/>
    <m/>
    <m/>
    <m/>
    <m/>
    <m/>
    <m/>
    <m/>
    <m/>
    <x v="2"/>
    <m/>
    <m/>
    <m/>
    <m/>
    <m/>
    <m/>
    <m/>
    <m/>
    <m/>
    <m/>
    <m/>
    <m/>
    <m/>
    <m/>
    <m/>
    <m/>
    <m/>
    <m/>
    <m/>
    <m/>
    <m/>
    <m/>
    <m/>
    <m/>
    <n v="200"/>
  </r>
  <r>
    <n v="53"/>
    <x v="2"/>
    <x v="50"/>
    <n v="0"/>
    <x v="1"/>
    <x v="2"/>
    <s v="Maa Narmada"/>
    <s v="Kharif"/>
    <x v="1"/>
    <x v="4"/>
    <x v="1"/>
    <m/>
    <m/>
    <m/>
    <m/>
    <m/>
    <m/>
    <x v="2"/>
    <m/>
    <m/>
    <x v="2"/>
    <m/>
    <m/>
    <x v="1"/>
    <m/>
    <m/>
    <m/>
    <m/>
    <m/>
    <m/>
    <m/>
    <m/>
    <x v="2"/>
    <m/>
    <m/>
    <m/>
    <m/>
    <m/>
    <m/>
    <m/>
    <m/>
    <m/>
    <m/>
    <m/>
    <m/>
    <m/>
    <m/>
    <m/>
    <m/>
    <m/>
    <m/>
    <m/>
    <m/>
    <m/>
    <m/>
    <m/>
    <m/>
    <n v="200"/>
  </r>
  <r>
    <n v="54"/>
    <x v="2"/>
    <x v="51"/>
    <n v="0"/>
    <x v="1"/>
    <x v="2"/>
    <s v="Maa Narmada"/>
    <s v="Kharif"/>
    <x v="1"/>
    <x v="4"/>
    <x v="1"/>
    <m/>
    <m/>
    <m/>
    <m/>
    <m/>
    <m/>
    <x v="2"/>
    <m/>
    <m/>
    <x v="2"/>
    <m/>
    <m/>
    <x v="1"/>
    <m/>
    <m/>
    <m/>
    <m/>
    <m/>
    <m/>
    <m/>
    <m/>
    <x v="2"/>
    <m/>
    <m/>
    <m/>
    <m/>
    <m/>
    <m/>
    <m/>
    <m/>
    <m/>
    <m/>
    <m/>
    <m/>
    <m/>
    <m/>
    <m/>
    <m/>
    <m/>
    <m/>
    <m/>
    <m/>
    <m/>
    <m/>
    <m/>
    <m/>
    <n v="200"/>
  </r>
  <r>
    <n v="55"/>
    <x v="2"/>
    <x v="52"/>
    <n v="0"/>
    <x v="1"/>
    <x v="2"/>
    <s v="Maa Narmada"/>
    <s v="Kharif"/>
    <x v="1"/>
    <x v="4"/>
    <x v="1"/>
    <m/>
    <m/>
    <m/>
    <m/>
    <m/>
    <m/>
    <x v="2"/>
    <m/>
    <m/>
    <x v="2"/>
    <m/>
    <m/>
    <x v="1"/>
    <m/>
    <m/>
    <m/>
    <m/>
    <m/>
    <m/>
    <m/>
    <m/>
    <x v="2"/>
    <m/>
    <m/>
    <m/>
    <m/>
    <m/>
    <m/>
    <m/>
    <m/>
    <m/>
    <m/>
    <m/>
    <m/>
    <m/>
    <m/>
    <m/>
    <m/>
    <m/>
    <m/>
    <m/>
    <m/>
    <m/>
    <m/>
    <m/>
    <m/>
    <n v="200"/>
  </r>
  <r>
    <n v="56"/>
    <x v="2"/>
    <x v="53"/>
    <n v="0"/>
    <x v="1"/>
    <x v="2"/>
    <s v="Maa Narmada"/>
    <s v="Kharif"/>
    <x v="0"/>
    <x v="0"/>
    <x v="0"/>
    <s v="120 days"/>
    <n v="1"/>
    <s v="Packets"/>
    <m/>
    <m/>
    <m/>
    <x v="0"/>
    <m/>
    <s v="NA"/>
    <x v="0"/>
    <s v="N/A"/>
    <s v="N/A"/>
    <x v="0"/>
    <s v="N/A"/>
    <s v="N/A"/>
    <s v="No"/>
    <s v="N/A"/>
    <s v="N/A"/>
    <s v="No"/>
    <s v="N/A"/>
    <s v="N/A"/>
    <x v="1"/>
    <s v="N/A"/>
    <s v="N/A"/>
    <m/>
    <m/>
    <m/>
    <m/>
    <m/>
    <m/>
    <m/>
    <m/>
    <m/>
    <s v="Yes"/>
    <n v="1"/>
    <s v="Packets"/>
    <s v="Yes"/>
    <n v="1"/>
    <s v="Packets"/>
    <s v="Yes"/>
    <n v="1"/>
    <s v="Packets"/>
    <s v="Yes"/>
    <n v="1"/>
    <s v="Packets"/>
    <n v="900"/>
    <n v="1100"/>
  </r>
  <r>
    <n v="57"/>
    <x v="2"/>
    <x v="54"/>
    <n v="0"/>
    <x v="1"/>
    <x v="2"/>
    <s v="Maa Narmada"/>
    <s v="Kharif"/>
    <x v="0"/>
    <x v="0"/>
    <x v="0"/>
    <s v="120 days"/>
    <n v="2"/>
    <s v="Packets"/>
    <m/>
    <m/>
    <m/>
    <x v="0"/>
    <m/>
    <s v="NA"/>
    <x v="0"/>
    <s v="N/A"/>
    <s v="N/A"/>
    <x v="0"/>
    <s v="N/A"/>
    <s v="N/A"/>
    <s v="No"/>
    <s v="N/A"/>
    <s v="N/A"/>
    <s v="No"/>
    <s v="N/A"/>
    <s v="N/A"/>
    <x v="1"/>
    <s v="N/A"/>
    <s v="N/A"/>
    <m/>
    <m/>
    <m/>
    <m/>
    <m/>
    <m/>
    <m/>
    <m/>
    <m/>
    <s v="Yes"/>
    <n v="1"/>
    <s v="Packets"/>
    <s v="Yes"/>
    <n v="1"/>
    <s v="Packets"/>
    <s v="Yes"/>
    <n v="1"/>
    <s v="Packets"/>
    <s v="Yes"/>
    <n v="1"/>
    <s v="Packets"/>
    <n v="900"/>
    <n v="1100"/>
  </r>
  <r>
    <n v="58"/>
    <x v="3"/>
    <x v="43"/>
    <n v="0"/>
    <x v="1"/>
    <x v="3"/>
    <s v="Chetna Ajeevika"/>
    <s v="Kharif"/>
    <x v="0"/>
    <x v="0"/>
    <x v="0"/>
    <s v="120 days"/>
    <n v="1"/>
    <s v="Packets"/>
    <m/>
    <m/>
    <m/>
    <x v="0"/>
    <m/>
    <s v="NA"/>
    <x v="0"/>
    <s v="N/A"/>
    <s v="N/A"/>
    <x v="0"/>
    <s v="N/A"/>
    <s v="N/A"/>
    <s v="No"/>
    <s v="N/A"/>
    <s v="N/A"/>
    <s v="No"/>
    <s v="N/A"/>
    <s v="N/A"/>
    <x v="1"/>
    <s v="N/A"/>
    <s v="N/A"/>
    <m/>
    <m/>
    <m/>
    <m/>
    <m/>
    <m/>
    <m/>
    <m/>
    <m/>
    <s v="Yes"/>
    <n v="1"/>
    <s v="Packets"/>
    <s v="Yes"/>
    <n v="1"/>
    <s v="Packets"/>
    <s v="Yes"/>
    <n v="1"/>
    <s v="Packets"/>
    <s v="Yes"/>
    <n v="1"/>
    <s v="Packets"/>
    <n v="900"/>
    <n v="1100"/>
  </r>
  <r>
    <n v="59"/>
    <x v="3"/>
    <x v="55"/>
    <n v="0"/>
    <x v="1"/>
    <x v="3"/>
    <s v="Chetna Ajeevika"/>
    <s v="Kharif"/>
    <x v="0"/>
    <x v="0"/>
    <x v="0"/>
    <s v="120 days"/>
    <n v="1"/>
    <s v="Packets"/>
    <m/>
    <m/>
    <m/>
    <x v="0"/>
    <m/>
    <s v="NA"/>
    <x v="0"/>
    <s v="N/A"/>
    <s v="N/A"/>
    <x v="0"/>
    <s v="N/A"/>
    <s v="N/A"/>
    <s v="No"/>
    <s v="N/A"/>
    <s v="N/A"/>
    <s v="No"/>
    <s v="N/A"/>
    <s v="N/A"/>
    <x v="1"/>
    <s v="N/A"/>
    <s v="N/A"/>
    <m/>
    <m/>
    <m/>
    <m/>
    <m/>
    <m/>
    <m/>
    <m/>
    <m/>
    <s v="Yes"/>
    <n v="1"/>
    <s v="Packets"/>
    <s v="Yes"/>
    <n v="1"/>
    <s v="Packets"/>
    <s v="Yes"/>
    <n v="1"/>
    <s v="Packets"/>
    <s v="Yes"/>
    <n v="1"/>
    <s v="Packets"/>
    <n v="900"/>
    <n v="1100"/>
  </r>
  <r>
    <n v="60"/>
    <x v="3"/>
    <x v="56"/>
    <n v="0"/>
    <x v="1"/>
    <x v="3"/>
    <s v="Chetna Ajeevika"/>
    <s v="Kharif"/>
    <x v="0"/>
    <x v="0"/>
    <x v="0"/>
    <s v="120 days"/>
    <n v="2"/>
    <s v="Packets"/>
    <m/>
    <m/>
    <m/>
    <x v="0"/>
    <m/>
    <s v="NA"/>
    <x v="0"/>
    <s v="N/A"/>
    <s v="N/A"/>
    <x v="0"/>
    <s v="N/A"/>
    <s v="N/A"/>
    <s v="No"/>
    <s v="N/A"/>
    <s v="N/A"/>
    <s v="No"/>
    <s v="N/A"/>
    <s v="N/A"/>
    <x v="1"/>
    <s v="N/A"/>
    <s v="N/A"/>
    <m/>
    <m/>
    <m/>
    <m/>
    <m/>
    <m/>
    <m/>
    <m/>
    <m/>
    <s v="Yes"/>
    <n v="1"/>
    <s v="Packets"/>
    <s v="Yes"/>
    <n v="1"/>
    <s v="Packets"/>
    <s v="Yes"/>
    <n v="1"/>
    <s v="Packets"/>
    <s v="Yes"/>
    <n v="1"/>
    <s v="Packets"/>
    <n v="900"/>
    <n v="1100"/>
  </r>
  <r>
    <n v="61"/>
    <x v="3"/>
    <x v="57"/>
    <n v="0"/>
    <x v="1"/>
    <x v="3"/>
    <s v="Chetna Ajeevika"/>
    <s v="Kharif"/>
    <x v="0"/>
    <x v="0"/>
    <x v="0"/>
    <s v="120 days"/>
    <n v="1"/>
    <s v="Packets"/>
    <m/>
    <m/>
    <m/>
    <x v="0"/>
    <m/>
    <s v="NA"/>
    <x v="0"/>
    <s v="N/A"/>
    <s v="N/A"/>
    <x v="0"/>
    <s v="N/A"/>
    <s v="N/A"/>
    <s v="No"/>
    <s v="N/A"/>
    <s v="N/A"/>
    <s v="No"/>
    <s v="N/A"/>
    <s v="N/A"/>
    <x v="1"/>
    <s v="N/A"/>
    <s v="N/A"/>
    <m/>
    <m/>
    <m/>
    <m/>
    <m/>
    <m/>
    <m/>
    <m/>
    <m/>
    <s v="Yes"/>
    <n v="1"/>
    <s v="Packets"/>
    <s v="Yes"/>
    <n v="1"/>
    <s v="Packets"/>
    <s v="Yes"/>
    <n v="1"/>
    <s v="Packets"/>
    <s v="Yes"/>
    <n v="1"/>
    <s v="Packets"/>
    <n v="900"/>
    <n v="1100"/>
  </r>
  <r>
    <n v="62"/>
    <x v="3"/>
    <x v="58"/>
    <n v="0"/>
    <x v="1"/>
    <x v="3"/>
    <s v="Chetna Ajeevika"/>
    <s v="Kharif"/>
    <x v="0"/>
    <x v="0"/>
    <x v="0"/>
    <s v="120 days"/>
    <n v="1"/>
    <s v="Packets"/>
    <m/>
    <m/>
    <m/>
    <x v="0"/>
    <m/>
    <s v="NA"/>
    <x v="0"/>
    <s v="N/A"/>
    <s v="N/A"/>
    <x v="0"/>
    <s v="N/A"/>
    <s v="N/A"/>
    <s v="No"/>
    <s v="N/A"/>
    <s v="N/A"/>
    <s v="No"/>
    <s v="N/A"/>
    <s v="N/A"/>
    <x v="1"/>
    <s v="N/A"/>
    <s v="N/A"/>
    <m/>
    <m/>
    <m/>
    <m/>
    <m/>
    <m/>
    <m/>
    <m/>
    <m/>
    <s v="Yes"/>
    <n v="1"/>
    <s v="Packets"/>
    <s v="Yes"/>
    <n v="1"/>
    <s v="Packets"/>
    <s v="Yes"/>
    <n v="1"/>
    <s v="Packets"/>
    <s v="Yes"/>
    <n v="1"/>
    <s v="Packets"/>
    <n v="900"/>
    <n v="1100"/>
  </r>
  <r>
    <n v="63"/>
    <x v="3"/>
    <x v="59"/>
    <n v="0"/>
    <x v="1"/>
    <x v="3"/>
    <s v="Chetna Ajeevika"/>
    <s v="Kharif"/>
    <x v="0"/>
    <x v="0"/>
    <x v="0"/>
    <s v="120 days"/>
    <n v="1"/>
    <s v="Packets"/>
    <m/>
    <m/>
    <m/>
    <x v="0"/>
    <m/>
    <s v="NA"/>
    <x v="0"/>
    <s v="N/A"/>
    <s v="N/A"/>
    <x v="0"/>
    <s v="N/A"/>
    <s v="N/A"/>
    <s v="No"/>
    <s v="N/A"/>
    <s v="N/A"/>
    <s v="No"/>
    <s v="N/A"/>
    <s v="N/A"/>
    <x v="1"/>
    <s v="N/A"/>
    <s v="N/A"/>
    <m/>
    <m/>
    <m/>
    <m/>
    <m/>
    <m/>
    <m/>
    <m/>
    <m/>
    <s v="Yes"/>
    <n v="1"/>
    <s v="Packets"/>
    <s v="Yes"/>
    <n v="1"/>
    <s v="Packets"/>
    <s v="Yes"/>
    <n v="1"/>
    <s v="Packets"/>
    <s v="Yes"/>
    <n v="1"/>
    <s v="Packets"/>
    <n v="900"/>
    <n v="1100"/>
  </r>
  <r>
    <n v="64"/>
    <x v="3"/>
    <x v="60"/>
    <n v="0"/>
    <x v="1"/>
    <x v="3"/>
    <s v="Chetna Ajeevika"/>
    <s v="Kharif"/>
    <x v="0"/>
    <x v="0"/>
    <x v="0"/>
    <s v="120 days"/>
    <n v="1"/>
    <s v="Packets"/>
    <m/>
    <m/>
    <m/>
    <x v="0"/>
    <m/>
    <s v="NA"/>
    <x v="0"/>
    <s v="N/A"/>
    <s v="N/A"/>
    <x v="0"/>
    <s v="N/A"/>
    <s v="N/A"/>
    <s v="No"/>
    <s v="N/A"/>
    <s v="N/A"/>
    <s v="No"/>
    <s v="N/A"/>
    <s v="N/A"/>
    <x v="1"/>
    <s v="N/A"/>
    <s v="N/A"/>
    <m/>
    <m/>
    <m/>
    <m/>
    <m/>
    <m/>
    <m/>
    <m/>
    <m/>
    <s v="Yes"/>
    <n v="1"/>
    <s v="Packets"/>
    <s v="Yes"/>
    <n v="1"/>
    <s v="Packets"/>
    <s v="Yes"/>
    <n v="1"/>
    <s v="Packets"/>
    <s v="Yes"/>
    <n v="1"/>
    <s v="Packets"/>
    <n v="900"/>
    <n v="1100"/>
  </r>
  <r>
    <n v="65"/>
    <x v="3"/>
    <x v="61"/>
    <n v="0"/>
    <x v="1"/>
    <x v="3"/>
    <s v="Chetna Ajeevika"/>
    <s v="Kharif"/>
    <x v="0"/>
    <x v="0"/>
    <x v="0"/>
    <s v="120 days"/>
    <n v="1"/>
    <s v="Packets"/>
    <m/>
    <m/>
    <m/>
    <x v="0"/>
    <m/>
    <s v="NA"/>
    <x v="0"/>
    <s v="N/A"/>
    <s v="N/A"/>
    <x v="0"/>
    <s v="N/A"/>
    <s v="N/A"/>
    <s v="No"/>
    <s v="N/A"/>
    <s v="N/A"/>
    <s v="No"/>
    <s v="N/A"/>
    <s v="N/A"/>
    <x v="1"/>
    <s v="N/A"/>
    <s v="N/A"/>
    <m/>
    <m/>
    <m/>
    <m/>
    <m/>
    <m/>
    <m/>
    <m/>
    <m/>
    <s v="Yes"/>
    <n v="1"/>
    <s v="Packets"/>
    <s v="Yes"/>
    <n v="1"/>
    <s v="Packets"/>
    <s v="Yes"/>
    <n v="1"/>
    <s v="Packets"/>
    <s v="Yes"/>
    <n v="1"/>
    <s v="Packets"/>
    <n v="900"/>
    <n v="1100"/>
  </r>
  <r>
    <n v="66"/>
    <x v="3"/>
    <x v="62"/>
    <n v="0"/>
    <x v="1"/>
    <x v="3"/>
    <s v="Chetna Ajeevika"/>
    <s v="Kharif"/>
    <x v="0"/>
    <x v="0"/>
    <x v="0"/>
    <s v="120 days"/>
    <n v="1"/>
    <s v="Packets"/>
    <m/>
    <m/>
    <m/>
    <x v="0"/>
    <m/>
    <s v="NA"/>
    <x v="0"/>
    <s v="N/A"/>
    <s v="N/A"/>
    <x v="0"/>
    <s v="N/A"/>
    <s v="N/A"/>
    <s v="No"/>
    <s v="N/A"/>
    <s v="N/A"/>
    <s v="No"/>
    <s v="N/A"/>
    <s v="N/A"/>
    <x v="1"/>
    <s v="N/A"/>
    <s v="N/A"/>
    <m/>
    <m/>
    <m/>
    <m/>
    <m/>
    <m/>
    <m/>
    <m/>
    <m/>
    <s v="Yes"/>
    <n v="1"/>
    <s v="Packets"/>
    <s v="Yes"/>
    <n v="1"/>
    <s v="Packets"/>
    <s v="Yes"/>
    <n v="1"/>
    <s v="Packets"/>
    <s v="Yes"/>
    <n v="1"/>
    <s v="Packets"/>
    <n v="900"/>
    <n v="1100"/>
  </r>
  <r>
    <n v="67"/>
    <x v="3"/>
    <x v="22"/>
    <n v="0"/>
    <x v="1"/>
    <x v="3"/>
    <s v="Chetna Ajeevika"/>
    <s v="Kharif"/>
    <x v="0"/>
    <x v="0"/>
    <x v="0"/>
    <s v="120 days"/>
    <n v="1"/>
    <s v="Packets"/>
    <m/>
    <m/>
    <m/>
    <x v="0"/>
    <m/>
    <s v="NA"/>
    <x v="0"/>
    <s v="N/A"/>
    <s v="N/A"/>
    <x v="0"/>
    <s v="N/A"/>
    <s v="N/A"/>
    <s v="No"/>
    <s v="N/A"/>
    <s v="N/A"/>
    <s v="No"/>
    <s v="N/A"/>
    <s v="N/A"/>
    <x v="1"/>
    <s v="N/A"/>
    <s v="N/A"/>
    <m/>
    <m/>
    <m/>
    <m/>
    <m/>
    <m/>
    <m/>
    <m/>
    <m/>
    <s v="Yes"/>
    <n v="1"/>
    <s v="Packets"/>
    <s v="Yes"/>
    <n v="1"/>
    <s v="Packets"/>
    <s v="Yes"/>
    <n v="1"/>
    <s v="Packets"/>
    <s v="Yes"/>
    <n v="1"/>
    <s v="Packets"/>
    <n v="900"/>
    <n v="1100"/>
  </r>
  <r>
    <n v="68"/>
    <x v="3"/>
    <x v="63"/>
    <n v="0"/>
    <x v="1"/>
    <x v="3"/>
    <s v="Chetna Ajeevika"/>
    <s v="Kharif"/>
    <x v="0"/>
    <x v="0"/>
    <x v="0"/>
    <s v="120 days"/>
    <n v="1"/>
    <s v="Packets"/>
    <m/>
    <m/>
    <m/>
    <x v="0"/>
    <m/>
    <s v="NA"/>
    <x v="0"/>
    <s v="N/A"/>
    <s v="N/A"/>
    <x v="0"/>
    <s v="N/A"/>
    <s v="N/A"/>
    <s v="No"/>
    <s v="N/A"/>
    <s v="N/A"/>
    <s v="No"/>
    <s v="N/A"/>
    <s v="N/A"/>
    <x v="1"/>
    <s v="N/A"/>
    <s v="N/A"/>
    <m/>
    <m/>
    <m/>
    <m/>
    <m/>
    <m/>
    <m/>
    <m/>
    <m/>
    <s v="Yes"/>
    <n v="1"/>
    <s v="Packets"/>
    <s v="Yes"/>
    <n v="1"/>
    <s v="Packets"/>
    <s v="Yes"/>
    <n v="1"/>
    <s v="Packets"/>
    <s v="Yes"/>
    <n v="1"/>
    <s v="Packets"/>
    <n v="900"/>
    <n v="1100"/>
  </r>
  <r>
    <n v="69"/>
    <x v="3"/>
    <x v="64"/>
    <n v="0"/>
    <x v="1"/>
    <x v="3"/>
    <s v="Chetna Ajeevika"/>
    <s v="Kharif"/>
    <x v="0"/>
    <x v="0"/>
    <x v="0"/>
    <s v="120 days"/>
    <n v="1"/>
    <s v="Packets"/>
    <m/>
    <m/>
    <m/>
    <x v="0"/>
    <m/>
    <s v="NA"/>
    <x v="0"/>
    <s v="N/A"/>
    <s v="N/A"/>
    <x v="0"/>
    <s v="N/A"/>
    <s v="N/A"/>
    <s v="No"/>
    <s v="N/A"/>
    <s v="N/A"/>
    <s v="No"/>
    <s v="N/A"/>
    <s v="N/A"/>
    <x v="1"/>
    <s v="N/A"/>
    <s v="N/A"/>
    <m/>
    <m/>
    <m/>
    <m/>
    <m/>
    <m/>
    <m/>
    <m/>
    <m/>
    <s v="Yes"/>
    <n v="1"/>
    <s v="Packets"/>
    <s v="Yes"/>
    <n v="1"/>
    <s v="Packets"/>
    <s v="Yes"/>
    <n v="1"/>
    <s v="Packets"/>
    <s v="Yes"/>
    <n v="1"/>
    <s v="Packets"/>
    <n v="900"/>
    <n v="1100"/>
  </r>
  <r>
    <n v="70"/>
    <x v="3"/>
    <x v="65"/>
    <n v="0"/>
    <x v="1"/>
    <x v="3"/>
    <s v="Chetna Ajeevika"/>
    <s v="Kharif"/>
    <x v="0"/>
    <x v="0"/>
    <x v="0"/>
    <s v="120 days"/>
    <n v="1"/>
    <s v="Packets"/>
    <m/>
    <m/>
    <m/>
    <x v="0"/>
    <m/>
    <s v="NA"/>
    <x v="0"/>
    <s v="N/A"/>
    <s v="N/A"/>
    <x v="0"/>
    <s v="N/A"/>
    <s v="N/A"/>
    <s v="No"/>
    <s v="N/A"/>
    <s v="N/A"/>
    <s v="No"/>
    <s v="N/A"/>
    <s v="N/A"/>
    <x v="1"/>
    <s v="N/A"/>
    <s v="N/A"/>
    <m/>
    <m/>
    <m/>
    <m/>
    <m/>
    <m/>
    <m/>
    <m/>
    <m/>
    <s v="Yes"/>
    <n v="1"/>
    <s v="Packets"/>
    <s v="Yes"/>
    <n v="1"/>
    <s v="Packets"/>
    <s v="Yes"/>
    <n v="1"/>
    <s v="Packets"/>
    <s v="Yes"/>
    <n v="1"/>
    <s v="Packets"/>
    <n v="900"/>
    <n v="1100"/>
  </r>
  <r>
    <n v="71"/>
    <x v="3"/>
    <x v="66"/>
    <n v="0"/>
    <x v="1"/>
    <x v="3"/>
    <s v="Chetna Ajeevika"/>
    <s v="Kharif"/>
    <x v="0"/>
    <x v="0"/>
    <x v="0"/>
    <s v="120 days"/>
    <n v="1"/>
    <s v="Packets"/>
    <m/>
    <m/>
    <m/>
    <x v="0"/>
    <m/>
    <s v="NA"/>
    <x v="0"/>
    <s v="N/A"/>
    <s v="N/A"/>
    <x v="0"/>
    <s v="N/A"/>
    <s v="N/A"/>
    <s v="No"/>
    <s v="N/A"/>
    <s v="N/A"/>
    <s v="No"/>
    <s v="N/A"/>
    <s v="N/A"/>
    <x v="1"/>
    <s v="N/A"/>
    <s v="N/A"/>
    <m/>
    <m/>
    <m/>
    <m/>
    <m/>
    <m/>
    <m/>
    <m/>
    <m/>
    <s v="Yes"/>
    <n v="1"/>
    <s v="Packets"/>
    <s v="Yes"/>
    <n v="1"/>
    <s v="Packets"/>
    <s v="Yes"/>
    <n v="1"/>
    <s v="Packets"/>
    <s v="Yes"/>
    <n v="1"/>
    <s v="Packets"/>
    <n v="900"/>
    <n v="1100"/>
  </r>
  <r>
    <n v="72"/>
    <x v="3"/>
    <x v="67"/>
    <n v="0"/>
    <x v="1"/>
    <x v="3"/>
    <s v="Chetna Ajeevika"/>
    <s v="Kharif"/>
    <x v="0"/>
    <x v="0"/>
    <x v="0"/>
    <s v="120 days"/>
    <n v="1"/>
    <s v="Packets"/>
    <m/>
    <m/>
    <m/>
    <x v="0"/>
    <m/>
    <s v="NA"/>
    <x v="0"/>
    <s v="N/A"/>
    <s v="N/A"/>
    <x v="0"/>
    <s v="N/A"/>
    <s v="N/A"/>
    <s v="No"/>
    <s v="N/A"/>
    <s v="N/A"/>
    <s v="No"/>
    <s v="N/A"/>
    <s v="N/A"/>
    <x v="1"/>
    <s v="N/A"/>
    <s v="N/A"/>
    <m/>
    <m/>
    <m/>
    <m/>
    <m/>
    <m/>
    <m/>
    <m/>
    <m/>
    <s v="Yes"/>
    <n v="1"/>
    <s v="Packets"/>
    <s v="Yes"/>
    <n v="1"/>
    <s v="Packets"/>
    <s v="Yes"/>
    <n v="1"/>
    <s v="Packets"/>
    <s v="Yes"/>
    <n v="1"/>
    <s v="Packets"/>
    <n v="900"/>
    <n v="1100"/>
  </r>
  <r>
    <n v="73"/>
    <x v="3"/>
    <x v="68"/>
    <n v="0"/>
    <x v="1"/>
    <x v="3"/>
    <s v="Chetna Ajeevika"/>
    <s v="Kharif"/>
    <x v="0"/>
    <x v="0"/>
    <x v="0"/>
    <s v="120 days"/>
    <n v="1"/>
    <s v="Packets"/>
    <m/>
    <m/>
    <m/>
    <x v="0"/>
    <m/>
    <s v="NA"/>
    <x v="0"/>
    <s v="N/A"/>
    <s v="N/A"/>
    <x v="0"/>
    <s v="N/A"/>
    <s v="N/A"/>
    <s v="No"/>
    <s v="N/A"/>
    <s v="N/A"/>
    <s v="No"/>
    <s v="N/A"/>
    <s v="N/A"/>
    <x v="1"/>
    <s v="N/A"/>
    <s v="N/A"/>
    <m/>
    <m/>
    <m/>
    <m/>
    <m/>
    <m/>
    <m/>
    <m/>
    <m/>
    <s v="Yes"/>
    <n v="1"/>
    <s v="Packets"/>
    <s v="Yes"/>
    <n v="1"/>
    <s v="Packets"/>
    <s v="Yes"/>
    <n v="1"/>
    <s v="Packets"/>
    <s v="Yes"/>
    <n v="1"/>
    <s v="Packets"/>
    <n v="900"/>
    <n v="1100"/>
  </r>
  <r>
    <n v="74"/>
    <x v="3"/>
    <x v="69"/>
    <n v="0"/>
    <x v="1"/>
    <x v="3"/>
    <s v="Om Shanti Ajeevika"/>
    <s v="Kharif"/>
    <x v="0"/>
    <x v="0"/>
    <x v="0"/>
    <s v="120 days"/>
    <n v="1"/>
    <s v="Packets"/>
    <m/>
    <m/>
    <m/>
    <x v="0"/>
    <m/>
    <s v="NA"/>
    <x v="0"/>
    <s v="N/A"/>
    <s v="N/A"/>
    <x v="0"/>
    <s v="N/A"/>
    <s v="N/A"/>
    <s v="No"/>
    <s v="N/A"/>
    <s v="N/A"/>
    <s v="No"/>
    <s v="N/A"/>
    <s v="N/A"/>
    <x v="1"/>
    <s v="N/A"/>
    <s v="N/A"/>
    <m/>
    <m/>
    <m/>
    <m/>
    <m/>
    <m/>
    <m/>
    <m/>
    <m/>
    <s v="Yes"/>
    <n v="1"/>
    <s v="Packets"/>
    <s v="Yes"/>
    <n v="1"/>
    <s v="Packets"/>
    <s v="Yes"/>
    <n v="1"/>
    <s v="Packets"/>
    <s v="Yes"/>
    <n v="1"/>
    <s v="Packets"/>
    <n v="900"/>
    <n v="1100"/>
  </r>
  <r>
    <n v="75"/>
    <x v="3"/>
    <x v="70"/>
    <n v="0"/>
    <x v="1"/>
    <x v="3"/>
    <s v="Om Shanti Ajeevika"/>
    <s v="Kharif"/>
    <x v="0"/>
    <x v="0"/>
    <x v="0"/>
    <s v="120 days"/>
    <n v="1"/>
    <s v="Packets"/>
    <m/>
    <m/>
    <m/>
    <x v="0"/>
    <m/>
    <s v="NA"/>
    <x v="0"/>
    <s v="N/A"/>
    <s v="N/A"/>
    <x v="0"/>
    <s v="N/A"/>
    <s v="N/A"/>
    <s v="No"/>
    <s v="N/A"/>
    <s v="N/A"/>
    <s v="No"/>
    <s v="N/A"/>
    <s v="N/A"/>
    <x v="1"/>
    <s v="N/A"/>
    <s v="N/A"/>
    <m/>
    <m/>
    <m/>
    <m/>
    <m/>
    <m/>
    <m/>
    <m/>
    <m/>
    <s v="Yes"/>
    <n v="1"/>
    <s v="Packets"/>
    <s v="Yes"/>
    <n v="1"/>
    <s v="Packets"/>
    <s v="Yes"/>
    <n v="1"/>
    <s v="Packets"/>
    <s v="Yes"/>
    <n v="1"/>
    <s v="Packets"/>
    <n v="900"/>
    <n v="1100"/>
  </r>
  <r>
    <n v="76"/>
    <x v="3"/>
    <x v="71"/>
    <n v="0"/>
    <x v="1"/>
    <x v="3"/>
    <s v="Om Shanti Ajeevika"/>
    <s v="Kharif"/>
    <x v="0"/>
    <x v="0"/>
    <x v="0"/>
    <s v="120 days"/>
    <n v="1"/>
    <s v="Packets"/>
    <m/>
    <m/>
    <m/>
    <x v="0"/>
    <m/>
    <s v="NA"/>
    <x v="0"/>
    <s v="N/A"/>
    <s v="N/A"/>
    <x v="0"/>
    <s v="N/A"/>
    <s v="N/A"/>
    <s v="No"/>
    <s v="N/A"/>
    <s v="N/A"/>
    <s v="No"/>
    <s v="N/A"/>
    <s v="N/A"/>
    <x v="1"/>
    <s v="N/A"/>
    <s v="N/A"/>
    <m/>
    <m/>
    <m/>
    <m/>
    <m/>
    <m/>
    <m/>
    <m/>
    <m/>
    <s v="Yes"/>
    <n v="1"/>
    <s v="Packets"/>
    <s v="Yes"/>
    <n v="1"/>
    <s v="Packets"/>
    <s v="Yes"/>
    <n v="1"/>
    <s v="Packets"/>
    <s v="Yes"/>
    <n v="1"/>
    <s v="Packets"/>
    <n v="900"/>
    <n v="1100"/>
  </r>
  <r>
    <n v="77"/>
    <x v="3"/>
    <x v="72"/>
    <n v="0"/>
    <x v="1"/>
    <x v="3"/>
    <s v="Om Shanti Ajeevika"/>
    <s v="Kharif"/>
    <x v="0"/>
    <x v="0"/>
    <x v="0"/>
    <s v="120 days"/>
    <n v="1"/>
    <s v="Packets"/>
    <m/>
    <m/>
    <m/>
    <x v="0"/>
    <m/>
    <s v="NA"/>
    <x v="0"/>
    <s v="N/A"/>
    <s v="N/A"/>
    <x v="0"/>
    <s v="N/A"/>
    <s v="N/A"/>
    <s v="No"/>
    <s v="N/A"/>
    <s v="N/A"/>
    <s v="No"/>
    <s v="N/A"/>
    <s v="N/A"/>
    <x v="1"/>
    <s v="N/A"/>
    <s v="N/A"/>
    <m/>
    <m/>
    <m/>
    <m/>
    <m/>
    <m/>
    <m/>
    <m/>
    <m/>
    <s v="Yes"/>
    <n v="1"/>
    <s v="Packets"/>
    <s v="Yes"/>
    <n v="1"/>
    <s v="Packets"/>
    <s v="Yes"/>
    <n v="1"/>
    <s v="Packets"/>
    <s v="Yes"/>
    <n v="1"/>
    <s v="Packets"/>
    <n v="900"/>
    <n v="1100"/>
  </r>
  <r>
    <n v="78"/>
    <x v="3"/>
    <x v="73"/>
    <n v="0"/>
    <x v="1"/>
    <x v="3"/>
    <s v="Om Shanti Ajeevika"/>
    <s v="Kharif"/>
    <x v="0"/>
    <x v="0"/>
    <x v="0"/>
    <s v="120 days"/>
    <n v="1"/>
    <s v="Packets"/>
    <m/>
    <m/>
    <m/>
    <x v="0"/>
    <m/>
    <s v="NA"/>
    <x v="0"/>
    <s v="N/A"/>
    <s v="N/A"/>
    <x v="0"/>
    <s v="N/A"/>
    <s v="N/A"/>
    <s v="No"/>
    <s v="N/A"/>
    <s v="N/A"/>
    <s v="No"/>
    <s v="N/A"/>
    <s v="N/A"/>
    <x v="1"/>
    <s v="N/A"/>
    <s v="N/A"/>
    <m/>
    <m/>
    <m/>
    <m/>
    <m/>
    <m/>
    <m/>
    <m/>
    <m/>
    <s v="Yes"/>
    <n v="1"/>
    <s v="Packets"/>
    <s v="Yes"/>
    <n v="1"/>
    <s v="Packets"/>
    <s v="Yes"/>
    <n v="1"/>
    <s v="Packets"/>
    <s v="Yes"/>
    <n v="1"/>
    <s v="Packets"/>
    <n v="900"/>
    <n v="1100"/>
  </r>
  <r>
    <n v="79"/>
    <x v="3"/>
    <x v="74"/>
    <n v="0"/>
    <x v="1"/>
    <x v="3"/>
    <s v="Om Shanti Ajeevika"/>
    <s v="Kharif"/>
    <x v="0"/>
    <x v="0"/>
    <x v="0"/>
    <s v="120 days"/>
    <n v="1"/>
    <s v="Packets"/>
    <m/>
    <m/>
    <m/>
    <x v="0"/>
    <m/>
    <s v="NA"/>
    <x v="0"/>
    <s v="N/A"/>
    <s v="N/A"/>
    <x v="0"/>
    <s v="N/A"/>
    <s v="N/A"/>
    <s v="No"/>
    <s v="N/A"/>
    <s v="N/A"/>
    <s v="No"/>
    <s v="N/A"/>
    <s v="N/A"/>
    <x v="1"/>
    <s v="N/A"/>
    <s v="N/A"/>
    <m/>
    <m/>
    <m/>
    <m/>
    <m/>
    <m/>
    <m/>
    <m/>
    <m/>
    <s v="Yes"/>
    <n v="1"/>
    <s v="Packets"/>
    <s v="Yes"/>
    <n v="1"/>
    <s v="Packets"/>
    <s v="Yes"/>
    <n v="1"/>
    <s v="Packets"/>
    <s v="Yes"/>
    <n v="1"/>
    <s v="Packets"/>
    <n v="900"/>
    <n v="1100"/>
  </r>
  <r>
    <n v="80"/>
    <x v="3"/>
    <x v="75"/>
    <n v="0"/>
    <x v="1"/>
    <x v="3"/>
    <s v="Om Shanti Ajeevika"/>
    <s v="Kharif"/>
    <x v="0"/>
    <x v="0"/>
    <x v="0"/>
    <s v="120 days"/>
    <n v="1"/>
    <s v="Packets"/>
    <m/>
    <m/>
    <m/>
    <x v="0"/>
    <m/>
    <s v="NA"/>
    <x v="0"/>
    <s v="N/A"/>
    <s v="N/A"/>
    <x v="0"/>
    <s v="N/A"/>
    <s v="N/A"/>
    <s v="No"/>
    <s v="N/A"/>
    <s v="N/A"/>
    <s v="No"/>
    <s v="N/A"/>
    <s v="N/A"/>
    <x v="1"/>
    <s v="N/A"/>
    <s v="N/A"/>
    <m/>
    <m/>
    <m/>
    <m/>
    <m/>
    <m/>
    <m/>
    <m/>
    <m/>
    <s v="Yes"/>
    <n v="1"/>
    <s v="Packets"/>
    <s v="Yes"/>
    <n v="1"/>
    <s v="Packets"/>
    <s v="Yes"/>
    <n v="1"/>
    <s v="Packets"/>
    <s v="Yes"/>
    <n v="1"/>
    <s v="Packets"/>
    <n v="900"/>
    <n v="1100"/>
  </r>
  <r>
    <n v="81"/>
    <x v="3"/>
    <x v="76"/>
    <n v="0"/>
    <x v="1"/>
    <x v="3"/>
    <s v="Om Shanti Ajeevika"/>
    <s v="Kharif"/>
    <x v="0"/>
    <x v="0"/>
    <x v="0"/>
    <s v="120 days"/>
    <n v="1"/>
    <s v="Packets"/>
    <m/>
    <m/>
    <m/>
    <x v="0"/>
    <m/>
    <s v="NA"/>
    <x v="0"/>
    <s v="N/A"/>
    <s v="N/A"/>
    <x v="0"/>
    <s v="N/A"/>
    <s v="N/A"/>
    <s v="No"/>
    <s v="N/A"/>
    <s v="N/A"/>
    <s v="No"/>
    <s v="N/A"/>
    <s v="N/A"/>
    <x v="1"/>
    <s v="N/A"/>
    <s v="N/A"/>
    <m/>
    <m/>
    <m/>
    <m/>
    <m/>
    <m/>
    <m/>
    <m/>
    <m/>
    <s v="Yes"/>
    <n v="1"/>
    <s v="Packets"/>
    <s v="Yes"/>
    <n v="1"/>
    <s v="Packets"/>
    <s v="Yes"/>
    <n v="1"/>
    <s v="Packets"/>
    <s v="Yes"/>
    <n v="1"/>
    <s v="Packets"/>
    <n v="900"/>
    <n v="1100"/>
  </r>
  <r>
    <n v="82"/>
    <x v="3"/>
    <x v="77"/>
    <n v="0"/>
    <x v="1"/>
    <x v="3"/>
    <s v="Om Shanti Ajeevika"/>
    <s v="Kharif"/>
    <x v="0"/>
    <x v="0"/>
    <x v="0"/>
    <s v="120 days"/>
    <n v="1"/>
    <s v="Packets"/>
    <m/>
    <m/>
    <m/>
    <x v="0"/>
    <m/>
    <s v="NA"/>
    <x v="0"/>
    <s v="N/A"/>
    <s v="N/A"/>
    <x v="0"/>
    <s v="N/A"/>
    <s v="N/A"/>
    <s v="No"/>
    <s v="N/A"/>
    <s v="N/A"/>
    <s v="No"/>
    <s v="N/A"/>
    <s v="N/A"/>
    <x v="1"/>
    <s v="N/A"/>
    <s v="N/A"/>
    <m/>
    <m/>
    <m/>
    <m/>
    <m/>
    <m/>
    <m/>
    <m/>
    <m/>
    <s v="Yes"/>
    <n v="1"/>
    <s v="Packets"/>
    <s v="Yes"/>
    <n v="1"/>
    <s v="Packets"/>
    <s v="Yes"/>
    <n v="1"/>
    <s v="Packets"/>
    <s v="Yes"/>
    <n v="1"/>
    <s v="Packets"/>
    <n v="900"/>
    <n v="1100"/>
  </r>
  <r>
    <n v="83"/>
    <x v="3"/>
    <x v="78"/>
    <n v="0"/>
    <x v="1"/>
    <x v="3"/>
    <s v="Om Shanti Ajeevika"/>
    <s v="Kharif"/>
    <x v="0"/>
    <x v="0"/>
    <x v="0"/>
    <s v="120 days"/>
    <n v="1"/>
    <s v="Packets"/>
    <m/>
    <m/>
    <m/>
    <x v="0"/>
    <m/>
    <s v="NA"/>
    <x v="0"/>
    <s v="N/A"/>
    <s v="N/A"/>
    <x v="0"/>
    <s v="N/A"/>
    <s v="N/A"/>
    <s v="No"/>
    <s v="N/A"/>
    <s v="N/A"/>
    <s v="No"/>
    <s v="N/A"/>
    <s v="N/A"/>
    <x v="1"/>
    <s v="N/A"/>
    <s v="N/A"/>
    <m/>
    <m/>
    <m/>
    <m/>
    <m/>
    <m/>
    <m/>
    <m/>
    <m/>
    <s v="Yes"/>
    <n v="1"/>
    <s v="Packets"/>
    <s v="Yes"/>
    <n v="1"/>
    <s v="Packets"/>
    <s v="Yes"/>
    <n v="1"/>
    <s v="Packets"/>
    <s v="Yes"/>
    <n v="1"/>
    <s v="Packets"/>
    <n v="900"/>
    <n v="1100"/>
  </r>
  <r>
    <n v="84"/>
    <x v="3"/>
    <x v="79"/>
    <n v="0"/>
    <x v="1"/>
    <x v="3"/>
    <s v="Om Shanti Ajeevika"/>
    <s v="Kharif"/>
    <x v="0"/>
    <x v="0"/>
    <x v="0"/>
    <s v="120 days"/>
    <n v="1"/>
    <s v="Packets"/>
    <m/>
    <m/>
    <m/>
    <x v="0"/>
    <m/>
    <s v="NA"/>
    <x v="0"/>
    <s v="N/A"/>
    <s v="N/A"/>
    <x v="0"/>
    <s v="N/A"/>
    <s v="N/A"/>
    <s v="No"/>
    <s v="N/A"/>
    <s v="N/A"/>
    <s v="No"/>
    <s v="N/A"/>
    <s v="N/A"/>
    <x v="1"/>
    <s v="N/A"/>
    <s v="N/A"/>
    <m/>
    <m/>
    <m/>
    <m/>
    <m/>
    <m/>
    <m/>
    <m/>
    <m/>
    <s v="Yes"/>
    <n v="1"/>
    <s v="Packets"/>
    <s v="Yes"/>
    <n v="1"/>
    <s v="Packets"/>
    <s v="Yes"/>
    <n v="1"/>
    <s v="Packets"/>
    <s v="Yes"/>
    <n v="1"/>
    <s v="Packets"/>
    <n v="900"/>
    <n v="1100"/>
  </r>
  <r>
    <n v="85"/>
    <x v="3"/>
    <x v="80"/>
    <n v="0"/>
    <x v="1"/>
    <x v="3"/>
    <s v="Om Shanti Ajeevika"/>
    <s v="Kharif"/>
    <x v="0"/>
    <x v="0"/>
    <x v="0"/>
    <s v="120 days"/>
    <n v="1"/>
    <s v="Packets"/>
    <m/>
    <m/>
    <m/>
    <x v="0"/>
    <m/>
    <s v="NA"/>
    <x v="0"/>
    <s v="N/A"/>
    <s v="N/A"/>
    <x v="0"/>
    <s v="N/A"/>
    <s v="N/A"/>
    <s v="No"/>
    <s v="N/A"/>
    <s v="N/A"/>
    <s v="No"/>
    <s v="N/A"/>
    <s v="N/A"/>
    <x v="1"/>
    <s v="N/A"/>
    <s v="N/A"/>
    <m/>
    <m/>
    <m/>
    <m/>
    <m/>
    <m/>
    <m/>
    <m/>
    <m/>
    <s v="Yes"/>
    <n v="1"/>
    <s v="Packets"/>
    <s v="Yes"/>
    <n v="1"/>
    <s v="Packets"/>
    <s v="Yes"/>
    <n v="1"/>
    <s v="Packets"/>
    <s v="Yes"/>
    <n v="1"/>
    <s v="Packets"/>
    <n v="900"/>
    <n v="110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5">
  <r>
    <n v="1"/>
    <x v="0"/>
    <x v="0"/>
    <n v="9770763477"/>
    <x v="0"/>
    <x v="0"/>
    <s v="Narayani SHG"/>
    <s v="Kharif"/>
    <s v="Yes"/>
    <s v="Not Applicable"/>
    <n v="200"/>
    <x v="0"/>
    <s v="120 days"/>
    <n v="100"/>
    <s v="KG"/>
    <s v="No"/>
    <s v="N/A"/>
    <s v="N/A"/>
    <s v="N/A"/>
    <x v="0"/>
    <s v="N/A"/>
    <s v="N/A"/>
    <x v="0"/>
    <s v="N/A"/>
    <s v="N/A"/>
    <s v="No"/>
    <s v="N/A"/>
    <s v="N/A"/>
    <s v="No"/>
    <s v="N/A"/>
    <s v="N/A"/>
    <s v="No"/>
    <s v="N/A"/>
    <s v="N/A"/>
    <x v="0"/>
    <n v="1"/>
    <s v="Packets"/>
    <s v="No"/>
    <s v="N/A"/>
    <s v="N/A"/>
    <x v="0"/>
    <s v="N/A"/>
    <s v="N/A"/>
    <s v="No"/>
    <s v="N/A"/>
    <s v="N/A"/>
    <n v="3"/>
    <s v="Acre"/>
    <n v="40"/>
    <s v="Quintal"/>
    <n v="12"/>
    <s v="Quintal"/>
    <s v="DAP Khad"/>
    <s v="Fertilizer"/>
    <n v="6"/>
    <s v="Packets"/>
    <s v="Urea"/>
    <s v="Fertilizer"/>
    <n v="6"/>
    <s v="Packets"/>
    <n v="0"/>
    <n v="0"/>
    <n v="0"/>
    <n v="0"/>
    <s v="Yes"/>
    <n v="1"/>
    <s v="Packet"/>
  </r>
  <r>
    <n v="2"/>
    <x v="0"/>
    <x v="1"/>
    <n v="8319747719"/>
    <x v="0"/>
    <x v="0"/>
    <s v="Jwala Tejaswani"/>
    <s v="Kharif"/>
    <s v="Yes"/>
    <s v="Not Applicable"/>
    <n v="200"/>
    <x v="0"/>
    <s v="120 days"/>
    <n v="1"/>
    <s v="Packets"/>
    <s v="No"/>
    <s v="N/A"/>
    <s v="N/A"/>
    <s v="N/A"/>
    <x v="0"/>
    <s v="N/A"/>
    <s v="N/A"/>
    <x v="0"/>
    <s v="N/A"/>
    <s v="N/A"/>
    <s v="No"/>
    <s v="N/A"/>
    <s v="N/A"/>
    <s v="No"/>
    <s v="N/A"/>
    <s v="N/A"/>
    <s v="No"/>
    <s v="N/A"/>
    <s v="N/A"/>
    <x v="1"/>
    <s v="N/A"/>
    <s v="N/A"/>
    <s v="No"/>
    <s v="N/A"/>
    <s v="N/A"/>
    <x v="0"/>
    <s v="N/A"/>
    <s v="N/A"/>
    <s v="No"/>
    <s v="N/A"/>
    <s v="N/A"/>
    <n v="1"/>
    <s v="Acre"/>
    <n v="16"/>
    <s v="Quintal"/>
    <n v="8"/>
    <s v="Quintal"/>
    <s v="DAP Khad"/>
    <s v="Fertilizer"/>
    <n v="0"/>
    <n v="0"/>
    <s v="DAP Khad"/>
    <s v="Fertilizer"/>
    <n v="0"/>
    <n v="0"/>
    <n v="0"/>
    <n v="0"/>
    <n v="0"/>
    <n v="0"/>
    <s v="Yes"/>
    <n v="1"/>
    <s v="Packet"/>
  </r>
  <r>
    <n v="3"/>
    <x v="0"/>
    <x v="2"/>
    <n v="9343883475"/>
    <x v="0"/>
    <x v="0"/>
    <s v="Jwala Tejaswani"/>
    <s v="Kharif"/>
    <s v="Yes"/>
    <s v="Not Applicable"/>
    <n v="200"/>
    <x v="0"/>
    <s v="120 days"/>
    <n v="1"/>
    <s v="Packets"/>
    <s v="No"/>
    <s v="N/A"/>
    <s v="N/A"/>
    <s v="N/A"/>
    <x v="0"/>
    <s v="N/A"/>
    <s v="N/A"/>
    <x v="1"/>
    <n v="1"/>
    <s v="Packets"/>
    <s v="No"/>
    <s v="N/A"/>
    <s v="N/A"/>
    <s v="No"/>
    <s v="N/A"/>
    <s v="N/A"/>
    <s v="No"/>
    <s v="N/A"/>
    <s v="N/A"/>
    <x v="0"/>
    <n v="1"/>
    <s v="Packets"/>
    <s v="No"/>
    <s v="N/A"/>
    <s v="N/A"/>
    <x v="0"/>
    <s v="N/A"/>
    <s v="N/A"/>
    <s v="No"/>
    <s v="N/A"/>
    <s v="N/A"/>
    <n v="1"/>
    <s v="Acre"/>
    <n v="18"/>
    <s v="Quintal"/>
    <n v="4"/>
    <s v="Quintal"/>
    <s v="Kitnashak"/>
    <s v="Pesticide"/>
    <n v="0"/>
    <n v="0"/>
    <s v="Urea"/>
    <s v="Fertilizer"/>
    <n v="0"/>
    <n v="0"/>
    <n v="0"/>
    <n v="0"/>
    <n v="0"/>
    <n v="0"/>
    <s v="Yes"/>
    <n v="1"/>
    <s v="Packet"/>
  </r>
  <r>
    <n v="4"/>
    <x v="0"/>
    <x v="3"/>
    <n v="9691630588"/>
    <x v="0"/>
    <x v="0"/>
    <s v="Jagdamba"/>
    <s v="Kharif"/>
    <s v="Yes"/>
    <s v="Not Applicable"/>
    <n v="200"/>
    <x v="0"/>
    <s v="120 days"/>
    <n v="25"/>
    <s v="KG"/>
    <s v="No"/>
    <s v="N/A"/>
    <s v="N/A"/>
    <s v="N/A"/>
    <x v="1"/>
    <n v="2"/>
    <s v="KG"/>
    <x v="0"/>
    <s v="N/A"/>
    <s v="N/A"/>
    <s v="No"/>
    <s v="N/A"/>
    <s v="N/A"/>
    <s v="No"/>
    <s v="N/A"/>
    <s v="N/A"/>
    <s v="No"/>
    <s v="N/A"/>
    <s v="N/A"/>
    <x v="1"/>
    <s v="N/A"/>
    <s v="N/A"/>
    <s v="No"/>
    <s v="N/A"/>
    <s v="N/A"/>
    <x v="0"/>
    <s v="N/A"/>
    <s v="N/A"/>
    <s v="No"/>
    <s v="N/A"/>
    <s v="N/A"/>
    <n v="0.5"/>
    <s v="Acre"/>
    <n v="7"/>
    <s v="Quintal"/>
    <n v="1"/>
    <s v="Quintal"/>
    <s v="Kitnashak"/>
    <s v="Pesticide"/>
    <n v="0"/>
    <n v="0"/>
    <s v="Urea"/>
    <s v="Fertilizer"/>
    <n v="0"/>
    <n v="0"/>
    <n v="0"/>
    <n v="0"/>
    <n v="0"/>
    <n v="0"/>
    <s v="Yes"/>
    <n v="1"/>
    <s v="Packet"/>
  </r>
  <r>
    <n v="5"/>
    <x v="0"/>
    <x v="4"/>
    <m/>
    <x v="0"/>
    <x v="0"/>
    <s v="Jwala Tejaswani"/>
    <s v="Kharif"/>
    <s v="Yes"/>
    <s v="Not Applicable"/>
    <n v="200"/>
    <x v="0"/>
    <s v="120 days"/>
    <n v="2"/>
    <s v="Packets"/>
    <s v="No"/>
    <s v="N/A"/>
    <s v="N/A"/>
    <s v="N/A"/>
    <x v="0"/>
    <s v="N/A"/>
    <s v="N/A"/>
    <x v="0"/>
    <s v="N/A"/>
    <s v="N/A"/>
    <s v="No"/>
    <s v="N/A"/>
    <s v="N/A"/>
    <s v="No"/>
    <s v="N/A"/>
    <s v="N/A"/>
    <s v="No"/>
    <s v="N/A"/>
    <s v="N/A"/>
    <x v="1"/>
    <s v="N/A"/>
    <s v="N/A"/>
    <s v="No"/>
    <s v="N/A"/>
    <s v="N/A"/>
    <x v="0"/>
    <s v="N/A"/>
    <s v="N/A"/>
    <s v="No"/>
    <s v="N/A"/>
    <s v="N/A"/>
    <n v="1"/>
    <s v="Acre"/>
    <n v="16"/>
    <s v="Quintal"/>
    <n v="12"/>
    <s v="Quintal"/>
    <n v="0"/>
    <n v="0"/>
    <n v="0"/>
    <n v="0"/>
    <n v="0"/>
    <n v="0"/>
    <n v="0"/>
    <n v="0"/>
    <n v="0"/>
    <n v="0"/>
    <n v="0"/>
    <n v="0"/>
    <s v="Yes"/>
    <n v="1"/>
    <s v="Packet"/>
  </r>
  <r>
    <n v="6"/>
    <x v="0"/>
    <x v="5"/>
    <m/>
    <x v="0"/>
    <x v="0"/>
    <s v="Jwala Tejaswani"/>
    <s v="Kharif"/>
    <s v="Yes"/>
    <s v="Not Applicable"/>
    <n v="0"/>
    <x v="0"/>
    <s v="120 days"/>
    <n v="1.25"/>
    <s v="Packets"/>
    <s v="No"/>
    <s v="N/A"/>
    <s v="N/A"/>
    <s v="N/A"/>
    <x v="0"/>
    <s v="N/A"/>
    <s v="N/A"/>
    <x v="0"/>
    <s v="N/A"/>
    <s v="N/A"/>
    <s v="No"/>
    <s v="N/A"/>
    <s v="N/A"/>
    <s v="No"/>
    <s v="N/A"/>
    <s v="N/A"/>
    <s v="No"/>
    <s v="N/A"/>
    <s v="N/A"/>
    <x v="1"/>
    <s v="N/A"/>
    <s v="N/A"/>
    <s v="No"/>
    <s v="N/A"/>
    <s v="N/A"/>
    <x v="0"/>
    <s v="N/A"/>
    <s v="N/A"/>
    <s v="No"/>
    <s v="N/A"/>
    <s v="N/A"/>
    <n v="1.5"/>
    <s v="Acre"/>
    <n v="20"/>
    <s v="Quintal"/>
    <n v="13"/>
    <s v="Quintal"/>
    <n v="0"/>
    <n v="0"/>
    <n v="0"/>
    <n v="0"/>
    <n v="0"/>
    <n v="0"/>
    <n v="0"/>
    <n v="0"/>
    <n v="0"/>
    <n v="0"/>
    <n v="0"/>
    <n v="0"/>
    <s v="Yes"/>
    <n v="1"/>
    <s v="Packet"/>
  </r>
  <r>
    <n v="7"/>
    <x v="0"/>
    <x v="6"/>
    <m/>
    <x v="0"/>
    <x v="0"/>
    <s v="Jagdamba"/>
    <s v="Kharif"/>
    <s v="Yes"/>
    <s v="Not Applicable"/>
    <n v="200"/>
    <x v="0"/>
    <s v="120 days"/>
    <n v="1"/>
    <s v="Packets"/>
    <s v="No"/>
    <s v="N/A"/>
    <s v="N/A"/>
    <s v="N/A"/>
    <x v="0"/>
    <s v="N/A"/>
    <s v="N/A"/>
    <x v="0"/>
    <s v="N/A"/>
    <s v="N/A"/>
    <s v="No"/>
    <s v="N/A"/>
    <s v="N/A"/>
    <s v="No"/>
    <s v="N/A"/>
    <s v="N/A"/>
    <s v="No"/>
    <s v="N/A"/>
    <s v="N/A"/>
    <x v="1"/>
    <s v="N/A"/>
    <s v="N/A"/>
    <s v="No"/>
    <s v="N/A"/>
    <s v="N/A"/>
    <x v="0"/>
    <s v="N/A"/>
    <s v="N/A"/>
    <s v="No"/>
    <s v="N/A"/>
    <s v="N/A"/>
    <n v="1"/>
    <s v="Acre"/>
    <n v="16"/>
    <s v="Quintal"/>
    <n v="5"/>
    <s v="Quintal"/>
    <n v="0"/>
    <n v="0"/>
    <n v="0"/>
    <n v="0"/>
    <n v="0"/>
    <n v="0"/>
    <n v="0"/>
    <n v="0"/>
    <n v="0"/>
    <n v="0"/>
    <n v="0"/>
    <n v="0"/>
    <s v="Yes"/>
    <n v="1"/>
    <s v="Packet"/>
  </r>
  <r>
    <n v="8"/>
    <x v="0"/>
    <x v="7"/>
    <m/>
    <x v="0"/>
    <x v="0"/>
    <s v="Durga"/>
    <s v="Kharif"/>
    <s v="Yes"/>
    <s v="Not Applicable"/>
    <n v="200"/>
    <x v="0"/>
    <s v="120 days"/>
    <n v="1"/>
    <s v="Packets"/>
    <s v="No"/>
    <s v="N/A"/>
    <s v="N/A"/>
    <s v="N/A"/>
    <x v="0"/>
    <s v="N/A"/>
    <s v="N/A"/>
    <x v="0"/>
    <s v="N/A"/>
    <s v="N/A"/>
    <s v="No"/>
    <s v="N/A"/>
    <s v="N/A"/>
    <s v="No"/>
    <s v="N/A"/>
    <s v="N/A"/>
    <s v="No"/>
    <s v="N/A"/>
    <s v="N/A"/>
    <x v="1"/>
    <s v="N/A"/>
    <s v="N/A"/>
    <s v="No"/>
    <s v="N/A"/>
    <s v="N/A"/>
    <x v="0"/>
    <s v="N/A"/>
    <s v="N/A"/>
    <s v="No"/>
    <s v="N/A"/>
    <s v="N/A"/>
    <n v="1.25"/>
    <s v="Acre"/>
    <n v="20"/>
    <s v="Quintal"/>
    <n v="15"/>
    <s v="Quintal"/>
    <s v="Kitnashak"/>
    <s v="Pesticide"/>
    <n v="0"/>
    <n v="0"/>
    <s v="Urea"/>
    <s v="Fertilizer"/>
    <n v="0"/>
    <n v="0"/>
    <n v="0"/>
    <n v="0"/>
    <n v="0"/>
    <n v="0"/>
    <s v="Yes"/>
    <n v="1"/>
    <s v="Packet"/>
  </r>
  <r>
    <n v="9"/>
    <x v="0"/>
    <x v="8"/>
    <m/>
    <x v="0"/>
    <x v="0"/>
    <s v="Durga"/>
    <s v="Kharif"/>
    <s v="Yes"/>
    <s v="Not Applicable"/>
    <n v="200"/>
    <x v="0"/>
    <s v="120 days"/>
    <n v="2"/>
    <s v="Packets"/>
    <s v="No"/>
    <s v="N/A"/>
    <s v="N/A"/>
    <s v="N/A"/>
    <x v="0"/>
    <s v="N/A"/>
    <s v="N/A"/>
    <x v="1"/>
    <n v="1"/>
    <s v="Packets"/>
    <s v="No"/>
    <s v="N/A"/>
    <s v="N/A"/>
    <s v="No"/>
    <s v="N/A"/>
    <s v="N/A"/>
    <s v="No"/>
    <s v="N/A"/>
    <s v="N/A"/>
    <x v="0"/>
    <n v="1"/>
    <s v="Packets"/>
    <s v="No"/>
    <s v="N/A"/>
    <s v="N/A"/>
    <x v="0"/>
    <s v="N/A"/>
    <s v="N/A"/>
    <s v="No"/>
    <s v="N/A"/>
    <s v="N/A"/>
    <n v="1"/>
    <s v="Acre"/>
    <n v="20"/>
    <s v="Quintal"/>
    <n v="10"/>
    <s v="Quintal"/>
    <s v="Kitnashak"/>
    <s v="Pesticide"/>
    <n v="0"/>
    <n v="0"/>
    <s v="Urea"/>
    <s v="Fertilizer"/>
    <n v="0"/>
    <n v="0"/>
    <s v="DAP Khad"/>
    <n v="0"/>
    <n v="0"/>
    <n v="0"/>
    <s v="Yes"/>
    <n v="1"/>
    <s v="Packet"/>
  </r>
  <r>
    <n v="10"/>
    <x v="0"/>
    <x v="9"/>
    <m/>
    <x v="0"/>
    <x v="0"/>
    <s v="Durga"/>
    <s v="Kharif"/>
    <s v="Yes"/>
    <s v="Not Applicable"/>
    <n v="200"/>
    <x v="0"/>
    <s v="120 days"/>
    <n v="1"/>
    <s v="Packets"/>
    <s v="No"/>
    <s v="N/A"/>
    <s v="N/A"/>
    <s v="N/A"/>
    <x v="0"/>
    <s v="N/A"/>
    <s v="N/A"/>
    <x v="0"/>
    <s v="N/A"/>
    <s v="N/A"/>
    <s v="No"/>
    <s v="N/A"/>
    <s v="N/A"/>
    <s v="No"/>
    <s v="N/A"/>
    <s v="N/A"/>
    <s v="No"/>
    <s v="N/A"/>
    <s v="N/A"/>
    <x v="1"/>
    <s v="N/A"/>
    <s v="N/A"/>
    <s v="No"/>
    <s v="N/A"/>
    <s v="N/A"/>
    <x v="0"/>
    <s v="N/A"/>
    <s v="N/A"/>
    <s v="No"/>
    <s v="N/A"/>
    <s v="N/A"/>
    <n v="0.5"/>
    <s v="Acre"/>
    <n v="10"/>
    <s v="Quintal"/>
    <n v="5"/>
    <s v="Quintal"/>
    <n v="0"/>
    <n v="0"/>
    <n v="0"/>
    <n v="0"/>
    <n v="0"/>
    <n v="0"/>
    <n v="0"/>
    <n v="0"/>
    <n v="0"/>
    <n v="0"/>
    <n v="0"/>
    <n v="0"/>
    <s v="Yes"/>
    <n v="1"/>
    <s v="Packet"/>
  </r>
  <r>
    <n v="11"/>
    <x v="0"/>
    <x v="10"/>
    <m/>
    <x v="0"/>
    <x v="0"/>
    <s v="Jwala"/>
    <s v="Kharif"/>
    <s v="Yes"/>
    <s v="Not Applicable"/>
    <n v="200"/>
    <x v="0"/>
    <s v="120 days"/>
    <n v="1"/>
    <s v="Packets"/>
    <s v="No"/>
    <s v="N/A"/>
    <s v="N/A"/>
    <s v="N/A"/>
    <x v="0"/>
    <s v="N/A"/>
    <s v="N/A"/>
    <x v="1"/>
    <n v="1"/>
    <s v="Packets"/>
    <s v="No"/>
    <s v="N/A"/>
    <s v="N/A"/>
    <s v="No"/>
    <s v="N/A"/>
    <s v="N/A"/>
    <s v="No"/>
    <s v="N/A"/>
    <s v="N/A"/>
    <x v="0"/>
    <n v="1"/>
    <s v="Packets"/>
    <s v="No"/>
    <s v="N/A"/>
    <s v="N/A"/>
    <x v="0"/>
    <s v="N/A"/>
    <s v="N/A"/>
    <s v="No"/>
    <s v="N/A"/>
    <s v="N/A"/>
    <n v="1"/>
    <s v="Acre"/>
    <n v="18"/>
    <s v="Quintal"/>
    <n v="10"/>
    <s v="Quintal"/>
    <s v="Kitnashak"/>
    <s v="Pesticide"/>
    <n v="0"/>
    <n v="0"/>
    <s v="Urea"/>
    <s v="Fertilizer"/>
    <n v="0"/>
    <n v="0"/>
    <s v="DAP Khad"/>
    <n v="0"/>
    <n v="0"/>
    <n v="0"/>
    <s v="Yes"/>
    <n v="1"/>
    <s v="Packet"/>
  </r>
  <r>
    <n v="12"/>
    <x v="0"/>
    <x v="11"/>
    <n v="9329902121"/>
    <x v="0"/>
    <x v="0"/>
    <s v="Jagdamba"/>
    <s v="Kharif"/>
    <s v="Yes"/>
    <s v="Not Applicable"/>
    <n v="200"/>
    <x v="0"/>
    <s v="120 days"/>
    <n v="10"/>
    <s v="KG"/>
    <s v="No"/>
    <s v="N/A"/>
    <s v="N/A"/>
    <s v="N/A"/>
    <x v="1"/>
    <n v="2"/>
    <s v="KG"/>
    <x v="1"/>
    <n v="1"/>
    <s v="Packets"/>
    <s v="No"/>
    <s v="N/A"/>
    <s v="N/A"/>
    <s v="No"/>
    <s v="N/A"/>
    <s v="N/A"/>
    <s v="No"/>
    <s v="N/A"/>
    <s v="N/A"/>
    <x v="0"/>
    <n v="1"/>
    <s v="Packets"/>
    <s v="No"/>
    <s v="N/A"/>
    <s v="N/A"/>
    <x v="0"/>
    <s v="N/A"/>
    <s v="N/A"/>
    <s v="No"/>
    <s v="N/A"/>
    <s v="N/A"/>
    <n v="1"/>
    <s v="Acre"/>
    <n v="16"/>
    <s v="Quintal"/>
    <n v="5"/>
    <s v="Quintal"/>
    <s v="DAP Khad"/>
    <s v="Fertilizer"/>
    <n v="10"/>
    <s v="KG"/>
    <s v="Urea"/>
    <s v="Fertilizer"/>
    <n v="10"/>
    <s v="KG"/>
    <n v="0"/>
    <n v="0"/>
    <n v="0"/>
    <n v="0"/>
    <s v="Yes"/>
    <n v="1"/>
    <s v="Packet"/>
  </r>
  <r>
    <n v="13"/>
    <x v="0"/>
    <x v="12"/>
    <m/>
    <x v="0"/>
    <x v="0"/>
    <s v="Jagdamba"/>
    <s v="Kharif"/>
    <s v="Yes"/>
    <s v="Not Applicable"/>
    <n v="200"/>
    <x v="0"/>
    <s v="120 days"/>
    <n v="5"/>
    <s v="KG"/>
    <s v="No"/>
    <s v="N/A"/>
    <s v="N/A"/>
    <s v="N/A"/>
    <x v="0"/>
    <s v="N/A"/>
    <s v="N/A"/>
    <x v="0"/>
    <s v="N/A"/>
    <s v="N/A"/>
    <s v="No"/>
    <s v="N/A"/>
    <s v="N/A"/>
    <s v="No"/>
    <s v="N/A"/>
    <s v="N/A"/>
    <s v="No"/>
    <s v="N/A"/>
    <s v="N/A"/>
    <x v="1"/>
    <s v="N/A"/>
    <s v="N/A"/>
    <s v="No"/>
    <s v="N/A"/>
    <s v="N/A"/>
    <x v="0"/>
    <s v="N/A"/>
    <s v="N/A"/>
    <s v="No"/>
    <s v="N/A"/>
    <s v="N/A"/>
    <n v="0.5"/>
    <s v="Acre"/>
    <n v="10"/>
    <s v="Quintal"/>
    <n v="3"/>
    <s v="Quintal"/>
    <n v="0"/>
    <n v="0"/>
    <n v="0"/>
    <n v="0"/>
    <n v="0"/>
    <n v="0"/>
    <n v="0"/>
    <n v="0"/>
    <n v="0"/>
    <n v="0"/>
    <n v="0"/>
    <n v="0"/>
    <s v="Yes"/>
    <n v="1"/>
    <s v="Packet"/>
  </r>
  <r>
    <n v="14"/>
    <x v="0"/>
    <x v="13"/>
    <n v="7067309717"/>
    <x v="0"/>
    <x v="0"/>
    <s v="Jagdamba"/>
    <s v="Kharif"/>
    <s v="Yes"/>
    <s v="Not Applicable"/>
    <n v="200"/>
    <x v="0"/>
    <s v="90 days"/>
    <n v="25"/>
    <s v="KG"/>
    <s v="No"/>
    <s v="N/A"/>
    <s v="N/A"/>
    <s v="N/A"/>
    <x v="0"/>
    <s v="N/A"/>
    <s v="N/A"/>
    <x v="0"/>
    <s v="N/A"/>
    <s v="N/A"/>
    <s v="No"/>
    <s v="N/A"/>
    <s v="N/A"/>
    <s v="No"/>
    <s v="N/A"/>
    <s v="N/A"/>
    <s v="No"/>
    <s v="N/A"/>
    <s v="N/A"/>
    <x v="0"/>
    <n v="1"/>
    <s v="Packets"/>
    <s v="No"/>
    <s v="N/A"/>
    <s v="N/A"/>
    <x v="0"/>
    <s v="N/A"/>
    <s v="N/A"/>
    <s v="No"/>
    <s v="N/A"/>
    <s v="N/A"/>
    <n v="0.5"/>
    <s v="Acre"/>
    <n v="6"/>
    <s v="Quintal"/>
    <n v="2"/>
    <s v="Quintal"/>
    <s v="Urea"/>
    <s v="Fertilizer"/>
    <n v="1"/>
    <s v="Packets"/>
    <n v="0"/>
    <n v="0"/>
    <n v="0"/>
    <n v="0"/>
    <n v="0"/>
    <n v="0"/>
    <n v="0"/>
    <n v="0"/>
    <s v="Yes"/>
    <n v="1"/>
    <s v="Packet"/>
  </r>
  <r>
    <n v="15"/>
    <x v="0"/>
    <x v="14"/>
    <m/>
    <x v="0"/>
    <x v="0"/>
    <s v="Narayani SHG"/>
    <s v="Kharif"/>
    <s v="Yes"/>
    <s v="Not Applicable"/>
    <n v="200"/>
    <x v="0"/>
    <s v="120 days"/>
    <n v="1"/>
    <s v="Packets"/>
    <s v="No"/>
    <s v="N/A"/>
    <s v="N/A"/>
    <s v="N/A"/>
    <x v="0"/>
    <s v="N/A"/>
    <s v="N/A"/>
    <x v="0"/>
    <s v="N/A"/>
    <s v="N/A"/>
    <s v="No"/>
    <s v="N/A"/>
    <s v="N/A"/>
    <s v="No"/>
    <s v="N/A"/>
    <s v="N/A"/>
    <s v="No"/>
    <s v="N/A"/>
    <s v="N/A"/>
    <x v="1"/>
    <s v="N/A"/>
    <s v="N/A"/>
    <s v="No"/>
    <s v="N/A"/>
    <s v="N/A"/>
    <x v="0"/>
    <s v="N/A"/>
    <s v="N/A"/>
    <s v="No"/>
    <s v="N/A"/>
    <s v="N/A"/>
    <n v="1"/>
    <s v="Acre"/>
    <n v="14"/>
    <s v="Quintal"/>
    <n v="4"/>
    <s v="Quintal"/>
    <s v="Kitnashak"/>
    <s v="Pesticide"/>
    <n v="0"/>
    <n v="0"/>
    <s v="Urea"/>
    <s v="Fertilizer"/>
    <n v="50"/>
    <s v="KG"/>
    <n v="0"/>
    <n v="0"/>
    <n v="0"/>
    <n v="0"/>
    <s v="Yes"/>
    <n v="1"/>
    <s v="Packet"/>
  </r>
  <r>
    <n v="16"/>
    <x v="0"/>
    <x v="15"/>
    <m/>
    <x v="0"/>
    <x v="0"/>
    <s v="Jwala Tejaswani"/>
    <s v="Kharif"/>
    <s v="Yes"/>
    <s v="Not Applicable"/>
    <n v="200"/>
    <x v="0"/>
    <s v="120 days"/>
    <n v="1"/>
    <s v="Packets"/>
    <s v="No"/>
    <s v="N/A"/>
    <s v="N/A"/>
    <s v="N/A"/>
    <x v="0"/>
    <s v="N/A"/>
    <s v="N/A"/>
    <x v="1"/>
    <n v="1"/>
    <s v="Packets"/>
    <s v="No"/>
    <s v="N/A"/>
    <s v="N/A"/>
    <s v="No"/>
    <s v="N/A"/>
    <s v="N/A"/>
    <s v="No"/>
    <s v="N/A"/>
    <s v="N/A"/>
    <x v="0"/>
    <n v="1"/>
    <s v="Packets"/>
    <s v="No"/>
    <s v="N/A"/>
    <s v="N/A"/>
    <x v="0"/>
    <s v="N/A"/>
    <s v="N/A"/>
    <s v="No"/>
    <s v="N/A"/>
    <s v="N/A"/>
    <n v="1"/>
    <s v="Acre"/>
    <n v="14"/>
    <s v="Quintal"/>
    <n v="5"/>
    <s v="Quintal"/>
    <s v="Urea"/>
    <s v="Fertilizer"/>
    <n v="1"/>
    <s v="Packets"/>
    <n v="0"/>
    <n v="0"/>
    <n v="0"/>
    <n v="0"/>
    <n v="0"/>
    <n v="0"/>
    <n v="0"/>
    <n v="0"/>
    <s v="Yes"/>
    <n v="1"/>
    <s v="Packet"/>
  </r>
  <r>
    <n v="17"/>
    <x v="1"/>
    <x v="16"/>
    <m/>
    <x v="0"/>
    <x v="1"/>
    <s v="Nirmala"/>
    <s v="Kharif"/>
    <s v="Yes"/>
    <s v="Not Applicable"/>
    <n v="200"/>
    <x v="0"/>
    <s v="120 days"/>
    <n v="1"/>
    <s v="Packets"/>
    <s v="No"/>
    <s v="N/A"/>
    <s v="N/A"/>
    <s v="N/A"/>
    <x v="0"/>
    <s v="N/A"/>
    <s v="N/A"/>
    <x v="0"/>
    <s v="N/A"/>
    <s v="N/A"/>
    <s v="No"/>
    <s v="N/A"/>
    <s v="N/A"/>
    <s v="No"/>
    <s v="N/A"/>
    <s v="N/A"/>
    <s v="No"/>
    <s v="N/A"/>
    <s v="N/A"/>
    <x v="1"/>
    <s v="N/A"/>
    <s v="N/A"/>
    <m/>
    <m/>
    <m/>
    <x v="1"/>
    <m/>
    <m/>
    <m/>
    <m/>
    <m/>
    <n v="1"/>
    <s v="Acre"/>
    <n v="16"/>
    <s v="Quintal"/>
    <n v="4"/>
    <s v="Quintal"/>
    <s v="Urea"/>
    <s v="Fertilizer"/>
    <n v="1"/>
    <s v="Packets"/>
    <n v="0"/>
    <n v="0"/>
    <n v="0"/>
    <n v="0"/>
    <n v="0"/>
    <n v="0"/>
    <n v="0"/>
    <n v="0"/>
    <s v="Yes"/>
    <n v="1"/>
    <s v="Packet"/>
  </r>
  <r>
    <n v="18"/>
    <x v="1"/>
    <x v="17"/>
    <m/>
    <x v="0"/>
    <x v="1"/>
    <s v="Nirmala"/>
    <s v="Kharif"/>
    <s v="Yes"/>
    <s v="Not Applicable"/>
    <n v="200"/>
    <x v="0"/>
    <s v="120 days"/>
    <n v="1"/>
    <s v="Packets"/>
    <s v="No"/>
    <s v="N/A"/>
    <s v="N/A"/>
    <s v="N/A"/>
    <x v="0"/>
    <s v="N/A"/>
    <s v="N/A"/>
    <x v="0"/>
    <s v="N/A"/>
    <s v="N/A"/>
    <s v="No"/>
    <s v="N/A"/>
    <s v="N/A"/>
    <s v="No"/>
    <s v="N/A"/>
    <s v="N/A"/>
    <s v="No"/>
    <s v="N/A"/>
    <s v="N/A"/>
    <x v="1"/>
    <s v="N/A"/>
    <s v="N/A"/>
    <m/>
    <m/>
    <m/>
    <x v="1"/>
    <m/>
    <m/>
    <m/>
    <m/>
    <m/>
    <n v="1"/>
    <s v="Acre"/>
    <n v="16"/>
    <s v="Quintal"/>
    <n v="4"/>
    <s v="Quintal"/>
    <s v="Urea"/>
    <s v="Fertilizer"/>
    <n v="1"/>
    <s v="Packets"/>
    <n v="0"/>
    <n v="0"/>
    <n v="0"/>
    <n v="0"/>
    <n v="0"/>
    <n v="0"/>
    <n v="0"/>
    <n v="0"/>
    <s v="Yes"/>
    <n v="1"/>
    <s v="Packet"/>
  </r>
  <r>
    <n v="19"/>
    <x v="1"/>
    <x v="18"/>
    <m/>
    <x v="0"/>
    <x v="1"/>
    <s v="Nirmala"/>
    <s v="Kharif"/>
    <s v="Yes"/>
    <s v="Not Applicable"/>
    <n v="200"/>
    <x v="0"/>
    <s v="120 days"/>
    <n v="1"/>
    <s v="Packets"/>
    <s v="No"/>
    <s v="N/A"/>
    <s v="N/A"/>
    <s v="N/A"/>
    <x v="0"/>
    <s v="N/A"/>
    <s v="N/A"/>
    <x v="0"/>
    <s v="N/A"/>
    <s v="N/A"/>
    <s v="No"/>
    <s v="N/A"/>
    <s v="N/A"/>
    <s v="No"/>
    <s v="N/A"/>
    <s v="N/A"/>
    <s v="No"/>
    <s v="N/A"/>
    <s v="N/A"/>
    <x v="1"/>
    <s v="N/A"/>
    <s v="N/A"/>
    <m/>
    <m/>
    <m/>
    <x v="1"/>
    <m/>
    <m/>
    <m/>
    <m/>
    <m/>
    <n v="1"/>
    <s v="Acre"/>
    <n v="16"/>
    <s v="Quintal"/>
    <n v="4"/>
    <s v="Quintal"/>
    <s v="Urea"/>
    <s v="Fertilizer"/>
    <n v="1"/>
    <s v="Packets"/>
    <n v="0"/>
    <n v="0"/>
    <n v="0"/>
    <n v="0"/>
    <n v="0"/>
    <n v="0"/>
    <n v="0"/>
    <n v="0"/>
    <s v="Yes"/>
    <n v="1"/>
    <s v="Packet"/>
  </r>
  <r>
    <n v="20"/>
    <x v="1"/>
    <x v="19"/>
    <m/>
    <x v="0"/>
    <x v="1"/>
    <s v="Narmada"/>
    <s v="Kharif"/>
    <s v="Yes"/>
    <s v="Not Applicable"/>
    <n v="200"/>
    <x v="0"/>
    <s v="120 days"/>
    <n v="1"/>
    <s v="Packets"/>
    <s v="No"/>
    <s v="N/A"/>
    <s v="N/A"/>
    <s v="N/A"/>
    <x v="0"/>
    <s v="N/A"/>
    <s v="N/A"/>
    <x v="0"/>
    <s v="N/A"/>
    <s v="N/A"/>
    <s v="No"/>
    <s v="N/A"/>
    <s v="N/A"/>
    <s v="No"/>
    <s v="N/A"/>
    <s v="N/A"/>
    <s v="No"/>
    <s v="N/A"/>
    <s v="N/A"/>
    <x v="1"/>
    <s v="N/A"/>
    <s v="N/A"/>
    <m/>
    <m/>
    <m/>
    <x v="1"/>
    <m/>
    <m/>
    <m/>
    <m/>
    <m/>
    <n v="1"/>
    <s v="Acre"/>
    <n v="16"/>
    <s v="Quintal"/>
    <n v="4"/>
    <s v="Quintal"/>
    <s v="Urea"/>
    <s v="Fertilizer"/>
    <n v="1"/>
    <s v="Packets"/>
    <n v="0"/>
    <n v="0"/>
    <n v="0"/>
    <n v="0"/>
    <n v="0"/>
    <n v="0"/>
    <n v="0"/>
    <n v="0"/>
    <s v="Yes"/>
    <n v="1"/>
    <s v="Packet"/>
  </r>
  <r>
    <n v="21"/>
    <x v="1"/>
    <x v="20"/>
    <m/>
    <x v="0"/>
    <x v="1"/>
    <s v="Narmada"/>
    <s v="Kharif"/>
    <s v="Yes"/>
    <s v="Not Applicable"/>
    <n v="200"/>
    <x v="0"/>
    <s v="120 days"/>
    <n v="1"/>
    <s v="Packets"/>
    <s v="No"/>
    <s v="N/A"/>
    <s v="N/A"/>
    <s v="N/A"/>
    <x v="0"/>
    <s v="N/A"/>
    <s v="N/A"/>
    <x v="0"/>
    <s v="N/A"/>
    <s v="N/A"/>
    <s v="No"/>
    <s v="N/A"/>
    <s v="N/A"/>
    <s v="No"/>
    <s v="N/A"/>
    <s v="N/A"/>
    <s v="No"/>
    <s v="N/A"/>
    <s v="N/A"/>
    <x v="1"/>
    <s v="N/A"/>
    <s v="N/A"/>
    <m/>
    <m/>
    <m/>
    <x v="1"/>
    <m/>
    <m/>
    <m/>
    <m/>
    <m/>
    <n v="1"/>
    <s v="Acre"/>
    <n v="16"/>
    <s v="Quintal"/>
    <n v="4"/>
    <s v="Quintal"/>
    <s v="Urea"/>
    <s v="Fertilizer"/>
    <n v="1"/>
    <s v="Packets"/>
    <n v="0"/>
    <n v="0"/>
    <n v="0"/>
    <n v="0"/>
    <n v="0"/>
    <n v="0"/>
    <n v="0"/>
    <n v="0"/>
    <s v="Yes"/>
    <n v="1"/>
    <s v="Packet"/>
  </r>
  <r>
    <n v="22"/>
    <x v="1"/>
    <x v="21"/>
    <m/>
    <x v="1"/>
    <x v="1"/>
    <s v="Narmada"/>
    <s v="Kharif"/>
    <s v="Yes"/>
    <s v="Not Applicable"/>
    <n v="200"/>
    <x v="0"/>
    <s v="120 days"/>
    <n v="1"/>
    <s v="Packets"/>
    <s v="No"/>
    <s v="N/A"/>
    <s v="N/A"/>
    <s v="N/A"/>
    <x v="0"/>
    <s v="N/A"/>
    <s v="N/A"/>
    <x v="0"/>
    <s v="N/A"/>
    <s v="N/A"/>
    <s v="No"/>
    <s v="N/A"/>
    <s v="N/A"/>
    <s v="No"/>
    <s v="N/A"/>
    <s v="N/A"/>
    <s v="No"/>
    <s v="N/A"/>
    <s v="N/A"/>
    <x v="1"/>
    <s v="N/A"/>
    <s v="N/A"/>
    <m/>
    <m/>
    <m/>
    <x v="1"/>
    <m/>
    <m/>
    <m/>
    <m/>
    <m/>
    <n v="1"/>
    <s v="Acre"/>
    <n v="16"/>
    <s v="Quintal"/>
    <n v="4"/>
    <s v="Quintal"/>
    <s v="Urea"/>
    <s v="Fertilizer"/>
    <n v="1"/>
    <s v="Packets"/>
    <n v="0"/>
    <n v="0"/>
    <n v="0"/>
    <n v="0"/>
    <n v="0"/>
    <n v="0"/>
    <n v="0"/>
    <n v="0"/>
    <s v="Yes"/>
    <n v="1"/>
    <s v="Packet"/>
  </r>
  <r>
    <n v="23"/>
    <x v="1"/>
    <x v="22"/>
    <m/>
    <x v="1"/>
    <x v="1"/>
    <s v="Narmada"/>
    <s v="Kharif"/>
    <s v="Yes"/>
    <s v="Not Applicable"/>
    <n v="200"/>
    <x v="0"/>
    <s v="120 days"/>
    <n v="1"/>
    <s v="Packets"/>
    <s v="No"/>
    <s v="N/A"/>
    <s v="N/A"/>
    <s v="N/A"/>
    <x v="0"/>
    <s v="N/A"/>
    <s v="N/A"/>
    <x v="0"/>
    <s v="N/A"/>
    <s v="N/A"/>
    <s v="No"/>
    <s v="N/A"/>
    <s v="N/A"/>
    <s v="No"/>
    <s v="N/A"/>
    <s v="N/A"/>
    <s v="No"/>
    <s v="N/A"/>
    <s v="N/A"/>
    <x v="1"/>
    <s v="N/A"/>
    <s v="N/A"/>
    <m/>
    <m/>
    <m/>
    <x v="1"/>
    <m/>
    <m/>
    <m/>
    <m/>
    <m/>
    <n v="1"/>
    <s v="Acre"/>
    <n v="16"/>
    <s v="Quintal"/>
    <n v="4"/>
    <s v="Quintal"/>
    <s v="Urea"/>
    <s v="Fertilizer"/>
    <n v="1"/>
    <s v="Packets"/>
    <n v="0"/>
    <n v="0"/>
    <n v="0"/>
    <n v="0"/>
    <n v="0"/>
    <n v="0"/>
    <n v="0"/>
    <n v="0"/>
    <s v="Yes"/>
    <n v="1"/>
    <s v="Packet"/>
  </r>
  <r>
    <n v="24"/>
    <x v="1"/>
    <x v="23"/>
    <m/>
    <x v="1"/>
    <x v="1"/>
    <s v="Narmada"/>
    <s v="Kharif"/>
    <s v="Yes"/>
    <s v="Not Applicable"/>
    <n v="200"/>
    <x v="0"/>
    <s v="120 days"/>
    <n v="1"/>
    <s v="Packets"/>
    <s v="No"/>
    <s v="N/A"/>
    <s v="N/A"/>
    <s v="N/A"/>
    <x v="0"/>
    <s v="N/A"/>
    <s v="N/A"/>
    <x v="0"/>
    <s v="N/A"/>
    <s v="N/A"/>
    <s v="No"/>
    <s v="N/A"/>
    <s v="N/A"/>
    <s v="No"/>
    <s v="N/A"/>
    <s v="N/A"/>
    <s v="No"/>
    <s v="N/A"/>
    <s v="N/A"/>
    <x v="1"/>
    <s v="N/A"/>
    <s v="N/A"/>
    <m/>
    <m/>
    <m/>
    <x v="1"/>
    <m/>
    <m/>
    <m/>
    <m/>
    <m/>
    <n v="1"/>
    <s v="Acre"/>
    <n v="16"/>
    <s v="Quintal"/>
    <n v="4"/>
    <s v="Quintal"/>
    <s v="Urea"/>
    <s v="Fertilizer"/>
    <n v="1"/>
    <s v="Packets"/>
    <n v="0"/>
    <n v="0"/>
    <n v="0"/>
    <n v="0"/>
    <n v="0"/>
    <n v="0"/>
    <n v="0"/>
    <n v="0"/>
    <s v="Yes"/>
    <n v="1"/>
    <s v="Packet"/>
  </r>
  <r>
    <n v="25"/>
    <x v="1"/>
    <x v="24"/>
    <m/>
    <x v="1"/>
    <x v="1"/>
    <s v="Narmada"/>
    <s v="Kharif"/>
    <s v="Yes"/>
    <s v="Not Applicable"/>
    <n v="200"/>
    <x v="0"/>
    <s v="120 days"/>
    <n v="1"/>
    <s v="Packets"/>
    <s v="No"/>
    <s v="N/A"/>
    <s v="N/A"/>
    <s v="N/A"/>
    <x v="0"/>
    <s v="N/A"/>
    <s v="N/A"/>
    <x v="0"/>
    <s v="N/A"/>
    <s v="N/A"/>
    <s v="No"/>
    <s v="N/A"/>
    <s v="N/A"/>
    <s v="No"/>
    <s v="N/A"/>
    <s v="N/A"/>
    <s v="No"/>
    <s v="N/A"/>
    <s v="N/A"/>
    <x v="1"/>
    <s v="N/A"/>
    <s v="N/A"/>
    <m/>
    <m/>
    <m/>
    <x v="1"/>
    <m/>
    <m/>
    <m/>
    <m/>
    <m/>
    <n v="1"/>
    <s v="Acre"/>
    <n v="16"/>
    <s v="Quintal"/>
    <n v="4"/>
    <s v="Quintal"/>
    <s v="Urea"/>
    <s v="Fertilizer"/>
    <n v="1"/>
    <s v="Packets"/>
    <n v="0"/>
    <n v="0"/>
    <n v="0"/>
    <n v="0"/>
    <n v="0"/>
    <n v="0"/>
    <n v="0"/>
    <n v="0"/>
    <s v="Yes"/>
    <n v="1"/>
    <s v="Packet"/>
  </r>
  <r>
    <n v="26"/>
    <x v="1"/>
    <x v="25"/>
    <m/>
    <x v="1"/>
    <x v="1"/>
    <s v="Narmada"/>
    <s v="Kharif"/>
    <s v="Yes"/>
    <s v="Not Applicable"/>
    <n v="200"/>
    <x v="0"/>
    <s v="120 days"/>
    <n v="1"/>
    <s v="Packets"/>
    <s v="No"/>
    <s v="N/A"/>
    <s v="N/A"/>
    <s v="N/A"/>
    <x v="0"/>
    <s v="N/A"/>
    <s v="N/A"/>
    <x v="0"/>
    <s v="N/A"/>
    <s v="N/A"/>
    <s v="No"/>
    <s v="N/A"/>
    <s v="N/A"/>
    <s v="No"/>
    <s v="N/A"/>
    <s v="N/A"/>
    <s v="No"/>
    <s v="N/A"/>
    <s v="N/A"/>
    <x v="1"/>
    <s v="N/A"/>
    <s v="N/A"/>
    <m/>
    <m/>
    <m/>
    <x v="1"/>
    <m/>
    <m/>
    <m/>
    <m/>
    <m/>
    <n v="1"/>
    <s v="Acre"/>
    <n v="16"/>
    <s v="Quintal"/>
    <n v="4"/>
    <s v="Quintal"/>
    <s v="Urea"/>
    <s v="Fertilizer"/>
    <n v="1"/>
    <s v="Packets"/>
    <n v="0"/>
    <n v="0"/>
    <n v="0"/>
    <n v="0"/>
    <n v="0"/>
    <n v="0"/>
    <n v="0"/>
    <n v="0"/>
    <s v="Yes"/>
    <n v="1"/>
    <s v="Packet"/>
  </r>
  <r>
    <n v="27"/>
    <x v="1"/>
    <x v="26"/>
    <m/>
    <x v="1"/>
    <x v="1"/>
    <s v="Narmada"/>
    <s v="Kharif"/>
    <s v="Yes"/>
    <s v="Not Applicable"/>
    <n v="200"/>
    <x v="0"/>
    <s v="120 days"/>
    <n v="1"/>
    <s v="Packets"/>
    <s v="No"/>
    <s v="N/A"/>
    <s v="N/A"/>
    <s v="N/A"/>
    <x v="0"/>
    <s v="N/A"/>
    <s v="N/A"/>
    <x v="0"/>
    <s v="N/A"/>
    <s v="N/A"/>
    <s v="No"/>
    <s v="N/A"/>
    <s v="N/A"/>
    <s v="No"/>
    <s v="N/A"/>
    <s v="N/A"/>
    <s v="No"/>
    <s v="N/A"/>
    <s v="N/A"/>
    <x v="1"/>
    <s v="N/A"/>
    <s v="N/A"/>
    <m/>
    <m/>
    <m/>
    <x v="1"/>
    <m/>
    <m/>
    <m/>
    <m/>
    <m/>
    <n v="1"/>
    <s v="Acre"/>
    <n v="16"/>
    <s v="Quintal"/>
    <n v="4"/>
    <s v="Quintal"/>
    <s v="Urea"/>
    <s v="Fertilizer"/>
    <n v="1"/>
    <s v="Packets"/>
    <n v="0"/>
    <n v="0"/>
    <n v="0"/>
    <n v="0"/>
    <n v="0"/>
    <n v="0"/>
    <n v="0"/>
    <n v="0"/>
    <s v="Yes"/>
    <n v="1"/>
    <s v="Packet"/>
  </r>
  <r>
    <n v="28"/>
    <x v="1"/>
    <x v="26"/>
    <m/>
    <x v="0"/>
    <x v="1"/>
    <s v="Narmada"/>
    <s v="Kharif"/>
    <s v="Yes"/>
    <s v="Not Applicable"/>
    <n v="200"/>
    <x v="0"/>
    <s v="120 days"/>
    <n v="1"/>
    <s v="Packets"/>
    <s v="No"/>
    <s v="N/A"/>
    <s v="N/A"/>
    <s v="N/A"/>
    <x v="0"/>
    <s v="N/A"/>
    <s v="N/A"/>
    <x v="0"/>
    <s v="N/A"/>
    <s v="N/A"/>
    <s v="No"/>
    <s v="N/A"/>
    <s v="N/A"/>
    <s v="No"/>
    <s v="N/A"/>
    <s v="N/A"/>
    <s v="No"/>
    <s v="N/A"/>
    <s v="N/A"/>
    <x v="1"/>
    <s v="N/A"/>
    <s v="N/A"/>
    <m/>
    <m/>
    <m/>
    <x v="1"/>
    <m/>
    <m/>
    <m/>
    <m/>
    <m/>
    <n v="1"/>
    <s v="Acre"/>
    <n v="16"/>
    <s v="Quintal"/>
    <n v="4"/>
    <s v="Quintal"/>
    <s v="Urea"/>
    <s v="Fertilizer"/>
    <n v="1"/>
    <s v="Packets"/>
    <n v="0"/>
    <n v="0"/>
    <n v="0"/>
    <n v="0"/>
    <n v="0"/>
    <n v="0"/>
    <n v="0"/>
    <n v="0"/>
    <s v="Yes"/>
    <n v="1"/>
    <s v="Packet"/>
  </r>
  <r>
    <n v="29"/>
    <x v="1"/>
    <x v="26"/>
    <m/>
    <x v="0"/>
    <x v="1"/>
    <s v="Narmada"/>
    <s v="Kharif"/>
    <s v="Yes"/>
    <s v="Not Applicable"/>
    <n v="200"/>
    <x v="0"/>
    <s v="120 days"/>
    <n v="1"/>
    <s v="Packets"/>
    <s v="No"/>
    <s v="N/A"/>
    <s v="N/A"/>
    <s v="N/A"/>
    <x v="0"/>
    <s v="N/A"/>
    <s v="N/A"/>
    <x v="0"/>
    <s v="N/A"/>
    <s v="N/A"/>
    <s v="No"/>
    <s v="N/A"/>
    <s v="N/A"/>
    <s v="No"/>
    <s v="N/A"/>
    <s v="N/A"/>
    <s v="No"/>
    <s v="N/A"/>
    <s v="N/A"/>
    <x v="1"/>
    <s v="N/A"/>
    <s v="N/A"/>
    <m/>
    <m/>
    <m/>
    <x v="1"/>
    <m/>
    <m/>
    <m/>
    <m/>
    <m/>
    <n v="1"/>
    <s v="Acre"/>
    <n v="16"/>
    <s v="Quintal"/>
    <n v="4"/>
    <s v="Quintal"/>
    <s v="Urea"/>
    <s v="Fertilizer"/>
    <n v="1"/>
    <s v="Packets"/>
    <n v="0"/>
    <n v="0"/>
    <n v="0"/>
    <n v="0"/>
    <n v="0"/>
    <n v="0"/>
    <n v="0"/>
    <n v="0"/>
    <s v="Yes"/>
    <n v="1"/>
    <s v="Packet"/>
  </r>
  <r>
    <n v="30"/>
    <x v="1"/>
    <x v="27"/>
    <m/>
    <x v="0"/>
    <x v="1"/>
    <s v="Narmada"/>
    <s v="Kharif"/>
    <s v="Yes"/>
    <s v="Not Applicable"/>
    <n v="200"/>
    <x v="0"/>
    <s v="120 days"/>
    <n v="1"/>
    <s v="Packets"/>
    <s v="No"/>
    <s v="N/A"/>
    <s v="N/A"/>
    <s v="N/A"/>
    <x v="0"/>
    <s v="N/A"/>
    <s v="N/A"/>
    <x v="0"/>
    <s v="N/A"/>
    <s v="N/A"/>
    <s v="No"/>
    <s v="N/A"/>
    <s v="N/A"/>
    <s v="No"/>
    <s v="N/A"/>
    <s v="N/A"/>
    <s v="No"/>
    <s v="N/A"/>
    <s v="N/A"/>
    <x v="1"/>
    <s v="N/A"/>
    <s v="N/A"/>
    <m/>
    <m/>
    <m/>
    <x v="1"/>
    <m/>
    <m/>
    <m/>
    <m/>
    <m/>
    <n v="1"/>
    <s v="Acre"/>
    <n v="16"/>
    <s v="Quintal"/>
    <n v="4"/>
    <s v="Quintal"/>
    <s v="Urea"/>
    <s v="Fertilizer"/>
    <n v="1"/>
    <s v="Packets"/>
    <n v="0"/>
    <n v="0"/>
    <n v="0"/>
    <n v="0"/>
    <n v="0"/>
    <n v="0"/>
    <n v="0"/>
    <n v="0"/>
    <s v="Yes"/>
    <n v="1"/>
    <s v="Packet"/>
  </r>
  <r>
    <n v="31"/>
    <x v="1"/>
    <x v="28"/>
    <m/>
    <x v="1"/>
    <x v="1"/>
    <s v="Narmada"/>
    <s v="Kharif"/>
    <s v="Yes"/>
    <s v="Not Applicable"/>
    <n v="200"/>
    <x v="0"/>
    <s v="120 days"/>
    <n v="1"/>
    <s v="Packets"/>
    <s v="No"/>
    <s v="N/A"/>
    <s v="N/A"/>
    <s v="N/A"/>
    <x v="0"/>
    <s v="N/A"/>
    <s v="N/A"/>
    <x v="0"/>
    <s v="N/A"/>
    <s v="N/A"/>
    <s v="No"/>
    <s v="N/A"/>
    <s v="N/A"/>
    <s v="No"/>
    <s v="N/A"/>
    <s v="N/A"/>
    <s v="No"/>
    <s v="N/A"/>
    <s v="N/A"/>
    <x v="1"/>
    <s v="N/A"/>
    <s v="N/A"/>
    <m/>
    <m/>
    <m/>
    <x v="1"/>
    <m/>
    <m/>
    <m/>
    <m/>
    <m/>
    <n v="1"/>
    <s v="Acre"/>
    <n v="16"/>
    <s v="Quintal"/>
    <n v="4"/>
    <s v="Quintal"/>
    <s v="Urea"/>
    <s v="Fertilizer"/>
    <n v="1"/>
    <s v="Packets"/>
    <n v="0"/>
    <n v="0"/>
    <n v="0"/>
    <n v="0"/>
    <n v="0"/>
    <n v="0"/>
    <n v="0"/>
    <n v="0"/>
    <s v="Yes"/>
    <n v="1"/>
    <s v="Packet"/>
  </r>
  <r>
    <n v="32"/>
    <x v="1"/>
    <x v="29"/>
    <m/>
    <x v="1"/>
    <x v="1"/>
    <s v="Kiran"/>
    <s v="Kharif"/>
    <s v="Yes"/>
    <s v="Not Applicable"/>
    <n v="200"/>
    <x v="0"/>
    <s v="120 days"/>
    <n v="1"/>
    <s v="Packets"/>
    <s v="No"/>
    <s v="N/A"/>
    <s v="N/A"/>
    <s v="N/A"/>
    <x v="0"/>
    <s v="N/A"/>
    <s v="N/A"/>
    <x v="0"/>
    <s v="N/A"/>
    <s v="N/A"/>
    <s v="No"/>
    <s v="N/A"/>
    <s v="N/A"/>
    <s v="No"/>
    <s v="N/A"/>
    <s v="N/A"/>
    <s v="No"/>
    <s v="N/A"/>
    <s v="N/A"/>
    <x v="1"/>
    <s v="N/A"/>
    <s v="N/A"/>
    <m/>
    <m/>
    <m/>
    <x v="1"/>
    <m/>
    <m/>
    <m/>
    <m/>
    <m/>
    <n v="1"/>
    <s v="Acre"/>
    <n v="16"/>
    <s v="Quintal"/>
    <n v="4"/>
    <s v="Quintal"/>
    <s v="Urea"/>
    <s v="Fertilizer"/>
    <n v="1"/>
    <s v="Packets"/>
    <n v="0"/>
    <n v="0"/>
    <n v="0"/>
    <n v="0"/>
    <n v="0"/>
    <n v="0"/>
    <n v="0"/>
    <n v="0"/>
    <s v="Yes"/>
    <n v="1"/>
    <s v="Packet"/>
  </r>
  <r>
    <n v="33"/>
    <x v="1"/>
    <x v="30"/>
    <m/>
    <x v="1"/>
    <x v="1"/>
    <s v="Kiran"/>
    <s v="Kharif"/>
    <s v="Yes"/>
    <s v="Not Applicable"/>
    <n v="200"/>
    <x v="0"/>
    <s v="120 days"/>
    <n v="1"/>
    <s v="Packets"/>
    <s v="No"/>
    <s v="N/A"/>
    <s v="N/A"/>
    <s v="N/A"/>
    <x v="0"/>
    <s v="N/A"/>
    <s v="N/A"/>
    <x v="0"/>
    <s v="N/A"/>
    <s v="N/A"/>
    <s v="No"/>
    <s v="N/A"/>
    <s v="N/A"/>
    <s v="No"/>
    <s v="N/A"/>
    <s v="N/A"/>
    <s v="No"/>
    <s v="N/A"/>
    <s v="N/A"/>
    <x v="1"/>
    <s v="N/A"/>
    <s v="N/A"/>
    <m/>
    <m/>
    <m/>
    <x v="1"/>
    <m/>
    <m/>
    <m/>
    <m/>
    <m/>
    <n v="1"/>
    <s v="Acre"/>
    <n v="16"/>
    <s v="Quintal"/>
    <n v="4"/>
    <s v="Quintal"/>
    <s v="Urea"/>
    <s v="Fertilizer"/>
    <n v="1"/>
    <s v="Packets"/>
    <n v="0"/>
    <n v="0"/>
    <n v="0"/>
    <n v="0"/>
    <n v="0"/>
    <n v="0"/>
    <n v="0"/>
    <n v="0"/>
    <s v="Yes"/>
    <n v="1"/>
    <s v="Packet"/>
  </r>
  <r>
    <n v="34"/>
    <x v="1"/>
    <x v="31"/>
    <m/>
    <x v="1"/>
    <x v="1"/>
    <s v="Kiran"/>
    <s v="Kharif"/>
    <s v="Yes"/>
    <s v="Not Applicable"/>
    <n v="200"/>
    <x v="0"/>
    <s v="120 days"/>
    <n v="1"/>
    <s v="Packets"/>
    <s v="No"/>
    <s v="N/A"/>
    <s v="N/A"/>
    <s v="N/A"/>
    <x v="0"/>
    <s v="N/A"/>
    <s v="N/A"/>
    <x v="0"/>
    <s v="N/A"/>
    <s v="N/A"/>
    <s v="No"/>
    <s v="N/A"/>
    <s v="N/A"/>
    <s v="No"/>
    <s v="N/A"/>
    <s v="N/A"/>
    <s v="No"/>
    <s v="N/A"/>
    <s v="N/A"/>
    <x v="1"/>
    <s v="N/A"/>
    <s v="N/A"/>
    <m/>
    <m/>
    <m/>
    <x v="1"/>
    <m/>
    <m/>
    <m/>
    <m/>
    <m/>
    <n v="1"/>
    <s v="Acre"/>
    <n v="16"/>
    <s v="Quintal"/>
    <n v="4"/>
    <s v="Quintal"/>
    <s v="Urea"/>
    <s v="Fertilizer"/>
    <n v="1"/>
    <s v="Packets"/>
    <n v="0"/>
    <n v="0"/>
    <n v="0"/>
    <n v="0"/>
    <n v="0"/>
    <n v="0"/>
    <n v="0"/>
    <n v="0"/>
    <s v="Yes"/>
    <n v="1"/>
    <s v="Packet"/>
  </r>
  <r>
    <n v="35"/>
    <x v="1"/>
    <x v="32"/>
    <m/>
    <x v="1"/>
    <x v="1"/>
    <s v="Kiran"/>
    <s v="Kharif"/>
    <s v="Yes"/>
    <s v="Not Applicable"/>
    <n v="200"/>
    <x v="0"/>
    <s v="120 days"/>
    <n v="1"/>
    <s v="Packets"/>
    <s v="No"/>
    <s v="N/A"/>
    <s v="N/A"/>
    <s v="N/A"/>
    <x v="0"/>
    <s v="N/A"/>
    <s v="N/A"/>
    <x v="0"/>
    <s v="N/A"/>
    <s v="N/A"/>
    <s v="No"/>
    <s v="N/A"/>
    <s v="N/A"/>
    <s v="No"/>
    <s v="N/A"/>
    <s v="N/A"/>
    <s v="No"/>
    <s v="N/A"/>
    <s v="N/A"/>
    <x v="1"/>
    <s v="N/A"/>
    <s v="N/A"/>
    <m/>
    <m/>
    <m/>
    <x v="1"/>
    <m/>
    <m/>
    <m/>
    <m/>
    <m/>
    <n v="1"/>
    <s v="Acre"/>
    <n v="16"/>
    <s v="Quintal"/>
    <n v="4"/>
    <s v="Quintal"/>
    <s v="Urea"/>
    <s v="Fertilizer"/>
    <n v="1"/>
    <s v="Packets"/>
    <n v="0"/>
    <n v="0"/>
    <n v="0"/>
    <n v="0"/>
    <n v="0"/>
    <n v="0"/>
    <n v="0"/>
    <n v="0"/>
    <s v="Yes"/>
    <n v="1"/>
    <s v="Packet"/>
  </r>
  <r>
    <n v="36"/>
    <x v="1"/>
    <x v="33"/>
    <m/>
    <x v="1"/>
    <x v="1"/>
    <s v="Kiran"/>
    <s v="Kharif"/>
    <s v="Yes"/>
    <s v="Not Applicable"/>
    <n v="200"/>
    <x v="0"/>
    <s v="120 days"/>
    <n v="1"/>
    <s v="Packets"/>
    <s v="No"/>
    <s v="N/A"/>
    <s v="N/A"/>
    <s v="N/A"/>
    <x v="0"/>
    <s v="N/A"/>
    <s v="N/A"/>
    <x v="0"/>
    <s v="N/A"/>
    <s v="N/A"/>
    <s v="No"/>
    <s v="N/A"/>
    <s v="N/A"/>
    <s v="No"/>
    <s v="N/A"/>
    <s v="N/A"/>
    <s v="No"/>
    <s v="N/A"/>
    <s v="N/A"/>
    <x v="1"/>
    <s v="N/A"/>
    <s v="N/A"/>
    <m/>
    <m/>
    <m/>
    <x v="1"/>
    <m/>
    <m/>
    <m/>
    <m/>
    <m/>
    <n v="1"/>
    <s v="Acre"/>
    <n v="16"/>
    <s v="Quintal"/>
    <n v="4"/>
    <s v="Quintal"/>
    <s v="Urea"/>
    <s v="Fertilizer"/>
    <n v="1"/>
    <s v="Packets"/>
    <n v="0"/>
    <n v="0"/>
    <n v="0"/>
    <n v="0"/>
    <n v="0"/>
    <n v="0"/>
    <n v="0"/>
    <n v="0"/>
    <s v="Yes"/>
    <n v="1"/>
    <s v="Packet"/>
  </r>
  <r>
    <n v="37"/>
    <x v="1"/>
    <x v="34"/>
    <m/>
    <x v="1"/>
    <x v="1"/>
    <s v="Kiran"/>
    <s v="Kharif"/>
    <s v="Yes"/>
    <s v="Not Applicable"/>
    <n v="200"/>
    <x v="0"/>
    <s v="120 days"/>
    <n v="1"/>
    <s v="Packets"/>
    <s v="No"/>
    <s v="N/A"/>
    <s v="N/A"/>
    <s v="N/A"/>
    <x v="0"/>
    <s v="N/A"/>
    <s v="N/A"/>
    <x v="0"/>
    <s v="N/A"/>
    <s v="N/A"/>
    <s v="No"/>
    <s v="N/A"/>
    <s v="N/A"/>
    <s v="No"/>
    <s v="N/A"/>
    <s v="N/A"/>
    <s v="No"/>
    <s v="N/A"/>
    <s v="N/A"/>
    <x v="1"/>
    <s v="N/A"/>
    <s v="N/A"/>
    <m/>
    <m/>
    <m/>
    <x v="1"/>
    <m/>
    <m/>
    <m/>
    <m/>
    <m/>
    <n v="1"/>
    <s v="Acre"/>
    <n v="16"/>
    <s v="Quintal"/>
    <n v="4"/>
    <s v="Quintal"/>
    <s v="Urea"/>
    <s v="Fertilizer"/>
    <n v="1"/>
    <s v="Packets"/>
    <n v="0"/>
    <n v="0"/>
    <n v="0"/>
    <n v="0"/>
    <n v="0"/>
    <n v="0"/>
    <n v="0"/>
    <n v="0"/>
    <s v="Yes"/>
    <n v="1"/>
    <s v="Packet"/>
  </r>
  <r>
    <n v="38"/>
    <x v="1"/>
    <x v="35"/>
    <m/>
    <x v="1"/>
    <x v="1"/>
    <s v="Kiran"/>
    <s v="Kharif"/>
    <s v="Yes"/>
    <s v="Not Applicable"/>
    <n v="200"/>
    <x v="0"/>
    <s v="120 days"/>
    <n v="1"/>
    <s v="Packets"/>
    <s v="No"/>
    <s v="N/A"/>
    <s v="N/A"/>
    <s v="N/A"/>
    <x v="0"/>
    <s v="N/A"/>
    <s v="N/A"/>
    <x v="0"/>
    <s v="N/A"/>
    <s v="N/A"/>
    <s v="No"/>
    <s v="N/A"/>
    <s v="N/A"/>
    <s v="No"/>
    <s v="N/A"/>
    <s v="N/A"/>
    <s v="No"/>
    <s v="N/A"/>
    <s v="N/A"/>
    <x v="1"/>
    <s v="N/A"/>
    <s v="N/A"/>
    <m/>
    <m/>
    <m/>
    <x v="1"/>
    <m/>
    <m/>
    <m/>
    <m/>
    <m/>
    <n v="1"/>
    <s v="Acre"/>
    <n v="16"/>
    <s v="Quintal"/>
    <n v="4"/>
    <s v="Quintal"/>
    <s v="Urea"/>
    <s v="Fertilizer"/>
    <n v="1"/>
    <s v="Packets"/>
    <n v="0"/>
    <n v="0"/>
    <n v="0"/>
    <n v="0"/>
    <n v="0"/>
    <n v="0"/>
    <n v="0"/>
    <n v="0"/>
    <s v="Yes"/>
    <n v="1"/>
    <s v="Packet"/>
  </r>
  <r>
    <n v="39"/>
    <x v="1"/>
    <x v="36"/>
    <m/>
    <x v="1"/>
    <x v="1"/>
    <s v="Kiran"/>
    <s v="Kharif"/>
    <s v="Yes"/>
    <s v="Not Applicable"/>
    <n v="200"/>
    <x v="0"/>
    <s v="120 days"/>
    <n v="1"/>
    <s v="Packets"/>
    <s v="No"/>
    <s v="N/A"/>
    <s v="N/A"/>
    <s v="N/A"/>
    <x v="0"/>
    <s v="N/A"/>
    <s v="N/A"/>
    <x v="0"/>
    <s v="N/A"/>
    <s v="N/A"/>
    <s v="No"/>
    <s v="N/A"/>
    <s v="N/A"/>
    <s v="No"/>
    <s v="N/A"/>
    <s v="N/A"/>
    <s v="No"/>
    <s v="N/A"/>
    <s v="N/A"/>
    <x v="1"/>
    <s v="N/A"/>
    <s v="N/A"/>
    <m/>
    <m/>
    <m/>
    <x v="1"/>
    <m/>
    <m/>
    <m/>
    <m/>
    <m/>
    <n v="1"/>
    <s v="Acre"/>
    <n v="16"/>
    <s v="Quintal"/>
    <n v="4"/>
    <s v="Quintal"/>
    <s v="Urea"/>
    <s v="Fertilizer"/>
    <n v="1"/>
    <s v="Packets"/>
    <n v="0"/>
    <n v="0"/>
    <n v="0"/>
    <n v="0"/>
    <n v="0"/>
    <n v="0"/>
    <n v="0"/>
    <n v="0"/>
    <s v="Yes"/>
    <n v="1"/>
    <s v="Packet"/>
  </r>
  <r>
    <n v="40"/>
    <x v="1"/>
    <x v="37"/>
    <m/>
    <x v="1"/>
    <x v="1"/>
    <s v="Kiran"/>
    <s v="Kharif"/>
    <s v="Yes"/>
    <s v="Not Applicable"/>
    <n v="200"/>
    <x v="0"/>
    <s v="120 days"/>
    <n v="1"/>
    <s v="Packets"/>
    <s v="No"/>
    <s v="N/A"/>
    <s v="N/A"/>
    <s v="N/A"/>
    <x v="0"/>
    <s v="N/A"/>
    <s v="N/A"/>
    <x v="0"/>
    <s v="N/A"/>
    <s v="N/A"/>
    <s v="No"/>
    <s v="N/A"/>
    <s v="N/A"/>
    <s v="No"/>
    <s v="N/A"/>
    <s v="N/A"/>
    <s v="No"/>
    <s v="N/A"/>
    <s v="N/A"/>
    <x v="1"/>
    <s v="N/A"/>
    <s v="N/A"/>
    <m/>
    <m/>
    <m/>
    <x v="1"/>
    <m/>
    <m/>
    <m/>
    <m/>
    <m/>
    <n v="1"/>
    <s v="Acre"/>
    <n v="16"/>
    <s v="Quintal"/>
    <n v="4"/>
    <s v="Quintal"/>
    <s v="Urea"/>
    <s v="Fertilizer"/>
    <n v="1"/>
    <s v="Packets"/>
    <n v="0"/>
    <n v="0"/>
    <n v="0"/>
    <n v="0"/>
    <n v="0"/>
    <n v="0"/>
    <n v="0"/>
    <n v="0"/>
    <s v="Yes"/>
    <n v="1"/>
    <s v="Packet"/>
  </r>
  <r>
    <n v="41"/>
    <x v="1"/>
    <x v="38"/>
    <m/>
    <x v="1"/>
    <x v="1"/>
    <s v="Kiran"/>
    <s v="Kharif"/>
    <s v="Yes"/>
    <s v="Not Applicable"/>
    <n v="200"/>
    <x v="0"/>
    <s v="120 days"/>
    <n v="1"/>
    <s v="Packets"/>
    <s v="No"/>
    <s v="N/A"/>
    <s v="N/A"/>
    <s v="N/A"/>
    <x v="0"/>
    <s v="N/A"/>
    <s v="N/A"/>
    <x v="0"/>
    <s v="N/A"/>
    <s v="N/A"/>
    <s v="No"/>
    <s v="N/A"/>
    <s v="N/A"/>
    <s v="No"/>
    <s v="N/A"/>
    <s v="N/A"/>
    <s v="No"/>
    <s v="N/A"/>
    <s v="N/A"/>
    <x v="1"/>
    <s v="N/A"/>
    <s v="N/A"/>
    <m/>
    <m/>
    <m/>
    <x v="1"/>
    <m/>
    <m/>
    <m/>
    <m/>
    <m/>
    <n v="1"/>
    <s v="Acre"/>
    <n v="16"/>
    <s v="Quintal"/>
    <n v="4"/>
    <s v="Quintal"/>
    <s v="Urea"/>
    <s v="Fertilizer"/>
    <n v="1"/>
    <s v="Packets"/>
    <n v="0"/>
    <n v="0"/>
    <n v="0"/>
    <n v="0"/>
    <n v="0"/>
    <n v="0"/>
    <n v="0"/>
    <n v="0"/>
    <s v="Yes"/>
    <n v="1"/>
    <s v="Packet"/>
  </r>
  <r>
    <n v="42"/>
    <x v="1"/>
    <x v="39"/>
    <m/>
    <x v="0"/>
    <x v="1"/>
    <s v="Kiran"/>
    <s v="Kharif"/>
    <s v="Yes"/>
    <s v="Not Applicable"/>
    <n v="200"/>
    <x v="0"/>
    <s v="120 days"/>
    <n v="1"/>
    <s v="Packets"/>
    <s v="No"/>
    <s v="N/A"/>
    <s v="N/A"/>
    <s v="N/A"/>
    <x v="0"/>
    <s v="N/A"/>
    <s v="N/A"/>
    <x v="0"/>
    <s v="N/A"/>
    <s v="N/A"/>
    <s v="No"/>
    <s v="N/A"/>
    <s v="N/A"/>
    <s v="No"/>
    <s v="N/A"/>
    <s v="N/A"/>
    <s v="No"/>
    <s v="N/A"/>
    <s v="N/A"/>
    <x v="1"/>
    <s v="N/A"/>
    <s v="N/A"/>
    <m/>
    <m/>
    <m/>
    <x v="1"/>
    <m/>
    <m/>
    <m/>
    <m/>
    <m/>
    <n v="1"/>
    <s v="Acre"/>
    <n v="16"/>
    <s v="Quintal"/>
    <n v="4"/>
    <s v="Quintal"/>
    <s v="Urea"/>
    <s v="Fertilizer"/>
    <n v="1"/>
    <s v="Packets"/>
    <n v="0"/>
    <n v="0"/>
    <n v="0"/>
    <n v="0"/>
    <n v="0"/>
    <n v="0"/>
    <n v="0"/>
    <n v="0"/>
    <s v="Yes"/>
    <n v="1"/>
    <s v="Packet"/>
  </r>
  <r>
    <n v="43"/>
    <x v="1"/>
    <x v="40"/>
    <m/>
    <x v="1"/>
    <x v="1"/>
    <s v="Kiran"/>
    <s v="Kharif"/>
    <s v="Yes"/>
    <s v="Not Applicable"/>
    <n v="200"/>
    <x v="0"/>
    <s v="120 days"/>
    <n v="1"/>
    <s v="Packets"/>
    <s v="No"/>
    <s v="N/A"/>
    <s v="N/A"/>
    <s v="N/A"/>
    <x v="0"/>
    <s v="N/A"/>
    <s v="N/A"/>
    <x v="0"/>
    <s v="N/A"/>
    <s v="N/A"/>
    <s v="No"/>
    <s v="N/A"/>
    <s v="N/A"/>
    <s v="No"/>
    <s v="N/A"/>
    <s v="N/A"/>
    <s v="No"/>
    <s v="N/A"/>
    <s v="N/A"/>
    <x v="1"/>
    <s v="N/A"/>
    <s v="N/A"/>
    <m/>
    <m/>
    <m/>
    <x v="1"/>
    <m/>
    <m/>
    <m/>
    <m/>
    <m/>
    <n v="1"/>
    <s v="Acre"/>
    <n v="16"/>
    <s v="Quintal"/>
    <n v="4"/>
    <s v="Quintal"/>
    <s v="Urea"/>
    <s v="Fertilizer"/>
    <n v="1"/>
    <s v="Packets"/>
    <n v="0"/>
    <n v="0"/>
    <n v="0"/>
    <n v="0"/>
    <n v="0"/>
    <n v="0"/>
    <n v="0"/>
    <n v="0"/>
    <s v="Yes"/>
    <n v="1"/>
    <s v="Packet"/>
  </r>
  <r>
    <n v="44"/>
    <x v="1"/>
    <x v="41"/>
    <m/>
    <x v="0"/>
    <x v="1"/>
    <s v="Safed Palash"/>
    <s v="Kharif"/>
    <s v="Yes"/>
    <s v="Not Applicable"/>
    <n v="200"/>
    <x v="0"/>
    <s v="120 days"/>
    <n v="1"/>
    <s v="Packets"/>
    <s v="No"/>
    <s v="N/A"/>
    <s v="N/A"/>
    <s v="N/A"/>
    <x v="0"/>
    <s v="N/A"/>
    <s v="N/A"/>
    <x v="0"/>
    <s v="N/A"/>
    <s v="N/A"/>
    <s v="No"/>
    <s v="N/A"/>
    <s v="N/A"/>
    <s v="No"/>
    <s v="N/A"/>
    <s v="N/A"/>
    <s v="No"/>
    <s v="N/A"/>
    <s v="N/A"/>
    <x v="1"/>
    <s v="N/A"/>
    <s v="N/A"/>
    <m/>
    <m/>
    <m/>
    <x v="1"/>
    <m/>
    <m/>
    <m/>
    <m/>
    <m/>
    <n v="1"/>
    <s v="Acre"/>
    <n v="16"/>
    <s v="Quintal"/>
    <n v="4"/>
    <s v="Quintal"/>
    <s v="Urea"/>
    <s v="Fertilizer"/>
    <n v="1"/>
    <s v="Packets"/>
    <n v="0"/>
    <n v="0"/>
    <n v="0"/>
    <n v="0"/>
    <n v="0"/>
    <n v="0"/>
    <n v="0"/>
    <n v="0"/>
    <s v="Yes"/>
    <n v="1"/>
    <s v="Packet"/>
  </r>
  <r>
    <n v="45"/>
    <x v="1"/>
    <x v="42"/>
    <m/>
    <x v="0"/>
    <x v="1"/>
    <s v="Safed Palash"/>
    <s v="Kharif"/>
    <s v="Yes"/>
    <s v="Not Applicable"/>
    <n v="200"/>
    <x v="0"/>
    <s v="120 days"/>
    <n v="1"/>
    <s v="Packets"/>
    <s v="No"/>
    <s v="N/A"/>
    <s v="N/A"/>
    <s v="N/A"/>
    <x v="0"/>
    <s v="N/A"/>
    <s v="N/A"/>
    <x v="0"/>
    <s v="N/A"/>
    <s v="N/A"/>
    <s v="No"/>
    <s v="N/A"/>
    <s v="N/A"/>
    <s v="No"/>
    <s v="N/A"/>
    <s v="N/A"/>
    <s v="No"/>
    <s v="N/A"/>
    <s v="N/A"/>
    <x v="1"/>
    <s v="N/A"/>
    <s v="N/A"/>
    <m/>
    <m/>
    <m/>
    <x v="1"/>
    <m/>
    <m/>
    <m/>
    <m/>
    <m/>
    <n v="1"/>
    <s v="Acre"/>
    <n v="16"/>
    <s v="Quintal"/>
    <n v="4"/>
    <s v="Quintal"/>
    <s v="Urea"/>
    <s v="Fertilizer"/>
    <n v="1"/>
    <s v="Packets"/>
    <n v="0"/>
    <n v="0"/>
    <n v="0"/>
    <n v="0"/>
    <n v="0"/>
    <n v="0"/>
    <n v="0"/>
    <n v="0"/>
    <s v="Yes"/>
    <n v="1"/>
    <s v="Packet"/>
  </r>
  <r>
    <n v="46"/>
    <x v="2"/>
    <x v="43"/>
    <m/>
    <x v="1"/>
    <x v="2"/>
    <s v="Maa Narmada"/>
    <s v="Kharif"/>
    <s v="Yes"/>
    <s v="Not Applicable"/>
    <n v="200"/>
    <x v="0"/>
    <s v="120 days"/>
    <n v="1"/>
    <s v="Packets"/>
    <s v="No"/>
    <s v="N/A"/>
    <s v="N/A"/>
    <s v="N/A"/>
    <x v="0"/>
    <s v="N/A"/>
    <s v="N/A"/>
    <x v="0"/>
    <s v="N/A"/>
    <s v="N/A"/>
    <s v="No"/>
    <s v="N/A"/>
    <s v="N/A"/>
    <s v="No"/>
    <s v="N/A"/>
    <s v="N/A"/>
    <s v="No"/>
    <s v="N/A"/>
    <s v="N/A"/>
    <x v="1"/>
    <s v="N/A"/>
    <s v="N/A"/>
    <m/>
    <m/>
    <m/>
    <x v="1"/>
    <m/>
    <m/>
    <m/>
    <m/>
    <m/>
    <n v="1"/>
    <s v="Acre"/>
    <n v="14"/>
    <s v="Quintal"/>
    <n v="4"/>
    <s v="Quintal"/>
    <s v="Urea"/>
    <s v="Fertilizer"/>
    <n v="1"/>
    <s v="Packets"/>
    <n v="0"/>
    <n v="0"/>
    <n v="0"/>
    <n v="0"/>
    <n v="0"/>
    <n v="0"/>
    <n v="0"/>
    <n v="0"/>
    <s v="Yes"/>
    <n v="1"/>
    <s v="Packet"/>
  </r>
  <r>
    <n v="47"/>
    <x v="2"/>
    <x v="44"/>
    <m/>
    <x v="1"/>
    <x v="2"/>
    <s v="Maa Narmada"/>
    <s v="Kharif"/>
    <s v="Yes"/>
    <s v="Not Applicable"/>
    <n v="200"/>
    <x v="0"/>
    <s v="120 days"/>
    <n v="1"/>
    <s v="Packets"/>
    <s v="No"/>
    <s v="N/A"/>
    <s v="N/A"/>
    <s v="N/A"/>
    <x v="0"/>
    <s v="N/A"/>
    <s v="N/A"/>
    <x v="0"/>
    <s v="N/A"/>
    <s v="N/A"/>
    <s v="No"/>
    <s v="N/A"/>
    <s v="N/A"/>
    <s v="No"/>
    <s v="N/A"/>
    <s v="N/A"/>
    <s v="No"/>
    <s v="N/A"/>
    <s v="N/A"/>
    <x v="1"/>
    <s v="N/A"/>
    <s v="N/A"/>
    <m/>
    <m/>
    <m/>
    <x v="1"/>
    <m/>
    <m/>
    <m/>
    <m/>
    <m/>
    <n v="1"/>
    <s v="Acre"/>
    <n v="14"/>
    <s v="Quintal"/>
    <n v="4"/>
    <s v="Quintal"/>
    <s v="Urea"/>
    <s v="Fertilizer"/>
    <n v="1"/>
    <s v="Packets"/>
    <n v="0"/>
    <n v="0"/>
    <n v="0"/>
    <n v="0"/>
    <n v="0"/>
    <n v="0"/>
    <n v="0"/>
    <n v="0"/>
    <s v="Yes"/>
    <n v="1"/>
    <s v="Packet"/>
  </r>
  <r>
    <n v="48"/>
    <x v="2"/>
    <x v="45"/>
    <m/>
    <x v="1"/>
    <x v="2"/>
    <s v="Maa Narmada"/>
    <s v="Kharif"/>
    <s v="Yes"/>
    <s v="Not Applicable"/>
    <n v="200"/>
    <x v="0"/>
    <s v="120 days"/>
    <n v="1"/>
    <s v="Packets"/>
    <s v="No"/>
    <s v="N/A"/>
    <s v="N/A"/>
    <s v="N/A"/>
    <x v="0"/>
    <s v="N/A"/>
    <s v="N/A"/>
    <x v="0"/>
    <s v="N/A"/>
    <s v="N/A"/>
    <s v="No"/>
    <s v="N/A"/>
    <s v="N/A"/>
    <s v="No"/>
    <s v="N/A"/>
    <s v="N/A"/>
    <s v="No"/>
    <s v="N/A"/>
    <s v="N/A"/>
    <x v="1"/>
    <s v="N/A"/>
    <s v="N/A"/>
    <m/>
    <m/>
    <m/>
    <x v="1"/>
    <m/>
    <m/>
    <m/>
    <m/>
    <m/>
    <n v="1"/>
    <s v="Acre"/>
    <n v="14"/>
    <s v="Quintal"/>
    <n v="4"/>
    <s v="Quintal"/>
    <s v="Urea"/>
    <s v="Fertilizer"/>
    <n v="1"/>
    <s v="Packets"/>
    <n v="0"/>
    <n v="0"/>
    <n v="0"/>
    <n v="0"/>
    <n v="0"/>
    <n v="0"/>
    <n v="0"/>
    <n v="0"/>
    <s v="Yes"/>
    <n v="1"/>
    <s v="Packet"/>
  </r>
  <r>
    <n v="49"/>
    <x v="2"/>
    <x v="46"/>
    <m/>
    <x v="1"/>
    <x v="2"/>
    <s v="Maa Narmada"/>
    <s v="Kharif"/>
    <s v="Yes"/>
    <s v="Not Applicable"/>
    <n v="200"/>
    <x v="0"/>
    <s v="120 days"/>
    <n v="1"/>
    <s v="Packets"/>
    <s v="No"/>
    <s v="N/A"/>
    <s v="N/A"/>
    <s v="N/A"/>
    <x v="0"/>
    <s v="N/A"/>
    <s v="N/A"/>
    <x v="0"/>
    <s v="N/A"/>
    <s v="N/A"/>
    <s v="No"/>
    <s v="N/A"/>
    <s v="N/A"/>
    <s v="No"/>
    <s v="N/A"/>
    <s v="N/A"/>
    <s v="No"/>
    <s v="N/A"/>
    <s v="N/A"/>
    <x v="1"/>
    <s v="N/A"/>
    <s v="N/A"/>
    <m/>
    <m/>
    <m/>
    <x v="1"/>
    <m/>
    <m/>
    <m/>
    <m/>
    <m/>
    <n v="1"/>
    <s v="Acre"/>
    <n v="14"/>
    <s v="Quintal"/>
    <n v="4"/>
    <s v="Quintal"/>
    <s v="Urea"/>
    <s v="Fertilizer"/>
    <n v="1"/>
    <s v="Packets"/>
    <n v="0"/>
    <n v="0"/>
    <n v="0"/>
    <n v="0"/>
    <n v="0"/>
    <n v="0"/>
    <n v="0"/>
    <n v="0"/>
    <s v="Yes"/>
    <n v="1"/>
    <s v="Packet"/>
  </r>
  <r>
    <n v="50"/>
    <x v="2"/>
    <x v="47"/>
    <m/>
    <x v="1"/>
    <x v="2"/>
    <s v="Maa Narmada"/>
    <s v="Kharif"/>
    <s v="Yes"/>
    <s v="Not Applicable"/>
    <n v="200"/>
    <x v="0"/>
    <s v="120 days"/>
    <n v="1"/>
    <s v="Packets"/>
    <s v="No"/>
    <s v="N/A"/>
    <s v="N/A"/>
    <s v="N/A"/>
    <x v="0"/>
    <s v="N/A"/>
    <s v="N/A"/>
    <x v="0"/>
    <s v="N/A"/>
    <s v="N/A"/>
    <s v="No"/>
    <s v="N/A"/>
    <s v="N/A"/>
    <s v="No"/>
    <s v="N/A"/>
    <s v="N/A"/>
    <s v="No"/>
    <s v="N/A"/>
    <s v="N/A"/>
    <x v="1"/>
    <s v="N/A"/>
    <s v="N/A"/>
    <m/>
    <m/>
    <m/>
    <x v="1"/>
    <m/>
    <m/>
    <m/>
    <m/>
    <m/>
    <n v="1"/>
    <s v="Acre"/>
    <n v="14"/>
    <s v="Quintal"/>
    <n v="4"/>
    <s v="Quintal"/>
    <s v="Urea"/>
    <s v="Fertilizer"/>
    <n v="1"/>
    <s v="Packets"/>
    <n v="0"/>
    <n v="0"/>
    <n v="0"/>
    <n v="0"/>
    <n v="0"/>
    <n v="0"/>
    <n v="0"/>
    <n v="0"/>
    <s v="Yes"/>
    <n v="1"/>
    <s v="Packet"/>
  </r>
  <r>
    <n v="51"/>
    <x v="2"/>
    <x v="48"/>
    <m/>
    <x v="1"/>
    <x v="2"/>
    <s v="Maa Narmada"/>
    <s v="Kharif"/>
    <s v="Yes"/>
    <s v="Not Applicable"/>
    <n v="200"/>
    <x v="0"/>
    <s v="120 days"/>
    <n v="1"/>
    <s v="Packets"/>
    <s v="No"/>
    <s v="N/A"/>
    <s v="N/A"/>
    <s v="N/A"/>
    <x v="0"/>
    <s v="N/A"/>
    <s v="N/A"/>
    <x v="0"/>
    <s v="N/A"/>
    <s v="N/A"/>
    <s v="No"/>
    <s v="N/A"/>
    <s v="N/A"/>
    <s v="No"/>
    <s v="N/A"/>
    <s v="N/A"/>
    <s v="No"/>
    <s v="N/A"/>
    <s v="N/A"/>
    <x v="1"/>
    <s v="N/A"/>
    <s v="N/A"/>
    <m/>
    <m/>
    <m/>
    <x v="1"/>
    <m/>
    <m/>
    <m/>
    <m/>
    <m/>
    <n v="1"/>
    <s v="Acre"/>
    <n v="14"/>
    <s v="Quintal"/>
    <n v="4"/>
    <s v="Quintal"/>
    <s v="Urea"/>
    <s v="Fertilizer"/>
    <n v="1"/>
    <s v="Packets"/>
    <n v="0"/>
    <n v="0"/>
    <n v="0"/>
    <n v="0"/>
    <n v="0"/>
    <n v="0"/>
    <n v="0"/>
    <n v="0"/>
    <s v="Yes"/>
    <n v="1"/>
    <s v="Packet"/>
  </r>
  <r>
    <n v="52"/>
    <x v="2"/>
    <x v="49"/>
    <m/>
    <x v="1"/>
    <x v="2"/>
    <s v="Maa Narmada"/>
    <s v="Kharif"/>
    <s v="Yes"/>
    <s v="Not Applicable"/>
    <n v="200"/>
    <x v="0"/>
    <s v="120 days"/>
    <n v="1"/>
    <s v="Packets"/>
    <s v="No"/>
    <s v="N/A"/>
    <s v="N/A"/>
    <s v="N/A"/>
    <x v="0"/>
    <s v="N/A"/>
    <s v="N/A"/>
    <x v="0"/>
    <s v="N/A"/>
    <s v="N/A"/>
    <s v="No"/>
    <s v="N/A"/>
    <s v="N/A"/>
    <s v="No"/>
    <s v="N/A"/>
    <s v="N/A"/>
    <s v="No"/>
    <s v="N/A"/>
    <s v="N/A"/>
    <x v="1"/>
    <s v="N/A"/>
    <s v="N/A"/>
    <m/>
    <m/>
    <m/>
    <x v="1"/>
    <m/>
    <m/>
    <m/>
    <m/>
    <m/>
    <n v="1"/>
    <s v="Acre"/>
    <n v="14"/>
    <s v="Quintal"/>
    <n v="4"/>
    <s v="Quintal"/>
    <s v="Urea"/>
    <s v="Fertilizer"/>
    <n v="1"/>
    <s v="Packets"/>
    <n v="0"/>
    <n v="0"/>
    <n v="0"/>
    <n v="0"/>
    <n v="0"/>
    <n v="0"/>
    <n v="0"/>
    <n v="0"/>
    <s v="Yes"/>
    <n v="1"/>
    <s v="Packet"/>
  </r>
  <r>
    <n v="53"/>
    <x v="2"/>
    <x v="50"/>
    <m/>
    <x v="1"/>
    <x v="2"/>
    <s v="Maa Narmada"/>
    <s v="Kharif"/>
    <s v="Yes"/>
    <s v="Not Applicable"/>
    <n v="200"/>
    <x v="0"/>
    <s v="120 days"/>
    <n v="1"/>
    <s v="Packets"/>
    <s v="No"/>
    <s v="N/A"/>
    <s v="N/A"/>
    <s v="N/A"/>
    <x v="0"/>
    <s v="N/A"/>
    <s v="N/A"/>
    <x v="0"/>
    <s v="N/A"/>
    <s v="N/A"/>
    <s v="No"/>
    <s v="N/A"/>
    <s v="N/A"/>
    <s v="No"/>
    <s v="N/A"/>
    <s v="N/A"/>
    <s v="No"/>
    <s v="N/A"/>
    <s v="N/A"/>
    <x v="1"/>
    <s v="N/A"/>
    <s v="N/A"/>
    <m/>
    <m/>
    <m/>
    <x v="1"/>
    <m/>
    <m/>
    <m/>
    <m/>
    <m/>
    <n v="1"/>
    <s v="Acre"/>
    <n v="14"/>
    <s v="Quintal"/>
    <n v="4"/>
    <s v="Quintal"/>
    <s v="Urea"/>
    <s v="Fertilizer"/>
    <n v="1"/>
    <s v="Packets"/>
    <n v="0"/>
    <n v="0"/>
    <n v="0"/>
    <n v="0"/>
    <n v="0"/>
    <n v="0"/>
    <n v="0"/>
    <n v="0"/>
    <s v="Yes"/>
    <n v="1"/>
    <s v="Packet"/>
  </r>
  <r>
    <n v="54"/>
    <x v="2"/>
    <x v="51"/>
    <m/>
    <x v="1"/>
    <x v="2"/>
    <s v="Maa Narmada"/>
    <s v="Kharif"/>
    <s v="Yes"/>
    <s v="Not Applicable"/>
    <n v="200"/>
    <x v="0"/>
    <s v="120 days"/>
    <n v="1"/>
    <s v="Packets"/>
    <s v="No"/>
    <s v="N/A"/>
    <s v="N/A"/>
    <s v="N/A"/>
    <x v="0"/>
    <s v="N/A"/>
    <s v="N/A"/>
    <x v="0"/>
    <s v="N/A"/>
    <s v="N/A"/>
    <s v="No"/>
    <s v="N/A"/>
    <s v="N/A"/>
    <s v="No"/>
    <s v="N/A"/>
    <s v="N/A"/>
    <s v="No"/>
    <s v="N/A"/>
    <s v="N/A"/>
    <x v="1"/>
    <s v="N/A"/>
    <s v="N/A"/>
    <m/>
    <m/>
    <m/>
    <x v="1"/>
    <m/>
    <m/>
    <m/>
    <m/>
    <m/>
    <n v="1"/>
    <s v="Acre"/>
    <n v="14"/>
    <s v="Quintal"/>
    <n v="4"/>
    <s v="Quintal"/>
    <s v="Urea"/>
    <s v="Fertilizer"/>
    <n v="1"/>
    <s v="Packets"/>
    <n v="0"/>
    <n v="0"/>
    <n v="0"/>
    <n v="0"/>
    <n v="0"/>
    <n v="0"/>
    <n v="0"/>
    <n v="0"/>
    <s v="Yes"/>
    <n v="1"/>
    <s v="Packet"/>
  </r>
  <r>
    <n v="55"/>
    <x v="2"/>
    <x v="52"/>
    <m/>
    <x v="1"/>
    <x v="2"/>
    <s v="Maa Narmada"/>
    <s v="Kharif"/>
    <s v="Yes"/>
    <s v="Not Applicable"/>
    <n v="200"/>
    <x v="0"/>
    <s v="120 days"/>
    <n v="1"/>
    <s v="Packets"/>
    <s v="No"/>
    <s v="N/A"/>
    <s v="N/A"/>
    <s v="N/A"/>
    <x v="0"/>
    <s v="N/A"/>
    <s v="N/A"/>
    <x v="0"/>
    <s v="N/A"/>
    <s v="N/A"/>
    <s v="No"/>
    <s v="N/A"/>
    <s v="N/A"/>
    <s v="No"/>
    <s v="N/A"/>
    <s v="N/A"/>
    <s v="No"/>
    <s v="N/A"/>
    <s v="N/A"/>
    <x v="1"/>
    <s v="N/A"/>
    <s v="N/A"/>
    <m/>
    <m/>
    <m/>
    <x v="1"/>
    <m/>
    <m/>
    <m/>
    <m/>
    <m/>
    <n v="1"/>
    <s v="Acre"/>
    <n v="14"/>
    <s v="Quintal"/>
    <n v="4"/>
    <s v="Quintal"/>
    <s v="Urea"/>
    <s v="Fertilizer"/>
    <n v="1"/>
    <s v="Packets"/>
    <n v="0"/>
    <n v="0"/>
    <n v="0"/>
    <n v="0"/>
    <n v="0"/>
    <n v="0"/>
    <n v="0"/>
    <n v="0"/>
    <s v="Yes"/>
    <n v="1"/>
    <s v="Packet"/>
  </r>
  <r>
    <n v="56"/>
    <x v="2"/>
    <x v="53"/>
    <m/>
    <x v="1"/>
    <x v="2"/>
    <s v="Maa Narmada"/>
    <s v="Kharif"/>
    <s v="Yes"/>
    <s v="Not Applicable"/>
    <n v="200"/>
    <x v="0"/>
    <s v="120 days"/>
    <n v="1"/>
    <s v="Packets"/>
    <s v="No"/>
    <s v="N/A"/>
    <s v="N/A"/>
    <s v="N/A"/>
    <x v="0"/>
    <s v="N/A"/>
    <s v="N/A"/>
    <x v="0"/>
    <s v="N/A"/>
    <s v="N/A"/>
    <s v="No"/>
    <s v="N/A"/>
    <s v="N/A"/>
    <s v="No"/>
    <s v="N/A"/>
    <s v="N/A"/>
    <s v="No"/>
    <s v="N/A"/>
    <s v="N/A"/>
    <x v="1"/>
    <s v="N/A"/>
    <s v="N/A"/>
    <m/>
    <m/>
    <m/>
    <x v="1"/>
    <m/>
    <m/>
    <m/>
    <m/>
    <m/>
    <n v="1"/>
    <s v="Acre"/>
    <n v="14"/>
    <s v="Quintal"/>
    <n v="4"/>
    <s v="Quintal"/>
    <s v="Urea"/>
    <s v="Fertilizer"/>
    <n v="1"/>
    <s v="Packets"/>
    <n v="0"/>
    <n v="0"/>
    <n v="0"/>
    <n v="0"/>
    <n v="0"/>
    <n v="0"/>
    <n v="0"/>
    <n v="0"/>
    <s v="Yes"/>
    <n v="1"/>
    <s v="Packet"/>
  </r>
  <r>
    <n v="57"/>
    <x v="2"/>
    <x v="54"/>
    <m/>
    <x v="1"/>
    <x v="2"/>
    <s v="Maa Narmada"/>
    <s v="Kharif"/>
    <s v="Yes"/>
    <s v="Not Applicable"/>
    <n v="200"/>
    <x v="0"/>
    <s v="120 days"/>
    <n v="1"/>
    <s v="Packets"/>
    <s v="No"/>
    <s v="N/A"/>
    <s v="N/A"/>
    <s v="N/A"/>
    <x v="0"/>
    <s v="N/A"/>
    <s v="N/A"/>
    <x v="0"/>
    <s v="N/A"/>
    <s v="N/A"/>
    <s v="No"/>
    <s v="N/A"/>
    <s v="N/A"/>
    <s v="No"/>
    <s v="N/A"/>
    <s v="N/A"/>
    <s v="No"/>
    <s v="N/A"/>
    <s v="N/A"/>
    <x v="1"/>
    <s v="N/A"/>
    <s v="N/A"/>
    <m/>
    <m/>
    <m/>
    <x v="1"/>
    <m/>
    <m/>
    <m/>
    <m/>
    <m/>
    <n v="1"/>
    <s v="Acre"/>
    <n v="14"/>
    <s v="Quintal"/>
    <n v="4"/>
    <s v="Quintal"/>
    <s v="Urea"/>
    <s v="Fertilizer"/>
    <n v="1"/>
    <s v="Packets"/>
    <n v="0"/>
    <n v="0"/>
    <n v="0"/>
    <n v="0"/>
    <n v="0"/>
    <n v="0"/>
    <n v="0"/>
    <n v="0"/>
    <s v="Yes"/>
    <n v="1"/>
    <s v="Packet"/>
  </r>
  <r>
    <n v="58"/>
    <x v="3"/>
    <x v="43"/>
    <m/>
    <x v="1"/>
    <x v="3"/>
    <s v="Chetna Ajeevika"/>
    <s v="Kharif"/>
    <s v="Yes"/>
    <s v="Not Applicable"/>
    <n v="200"/>
    <x v="0"/>
    <s v="120 days"/>
    <n v="1"/>
    <s v="Packets"/>
    <s v="No"/>
    <s v="N/A"/>
    <s v="N/A"/>
    <s v="N/A"/>
    <x v="0"/>
    <s v="N/A"/>
    <s v="N/A"/>
    <x v="0"/>
    <s v="N/A"/>
    <s v="N/A"/>
    <s v="No"/>
    <s v="N/A"/>
    <s v="N/A"/>
    <s v="No"/>
    <s v="N/A"/>
    <s v="N/A"/>
    <s v="No"/>
    <s v="N/A"/>
    <s v="N/A"/>
    <x v="1"/>
    <s v="N/A"/>
    <s v="N/A"/>
    <m/>
    <m/>
    <m/>
    <x v="1"/>
    <m/>
    <m/>
    <m/>
    <m/>
    <m/>
    <n v="1"/>
    <s v="Acre"/>
    <n v="16"/>
    <s v="Quintal"/>
    <n v="4"/>
    <s v="Quintal"/>
    <s v="Urea"/>
    <s v="Fertilizer"/>
    <n v="1"/>
    <s v="Packets"/>
    <n v="0"/>
    <n v="0"/>
    <n v="0"/>
    <n v="0"/>
    <n v="0"/>
    <n v="0"/>
    <n v="0"/>
    <n v="0"/>
    <s v="Yes"/>
    <n v="1"/>
    <s v="Packet"/>
  </r>
  <r>
    <n v="59"/>
    <x v="3"/>
    <x v="55"/>
    <m/>
    <x v="1"/>
    <x v="3"/>
    <s v="Chetna Ajeevika"/>
    <s v="Kharif"/>
    <s v="Yes"/>
    <s v="Not Applicable"/>
    <n v="200"/>
    <x v="0"/>
    <s v="120 days"/>
    <n v="1"/>
    <s v="Packets"/>
    <s v="No"/>
    <s v="N/A"/>
    <s v="N/A"/>
    <s v="N/A"/>
    <x v="0"/>
    <s v="N/A"/>
    <s v="N/A"/>
    <x v="0"/>
    <s v="N/A"/>
    <s v="N/A"/>
    <s v="No"/>
    <s v="N/A"/>
    <s v="N/A"/>
    <s v="No"/>
    <s v="N/A"/>
    <s v="N/A"/>
    <s v="No"/>
    <s v="N/A"/>
    <s v="N/A"/>
    <x v="1"/>
    <s v="N/A"/>
    <s v="N/A"/>
    <m/>
    <m/>
    <m/>
    <x v="1"/>
    <m/>
    <m/>
    <m/>
    <m/>
    <m/>
    <n v="1"/>
    <s v="Acre"/>
    <n v="16"/>
    <s v="Quintal"/>
    <n v="4"/>
    <s v="Quintal"/>
    <s v="Urea"/>
    <s v="Fertilizer"/>
    <n v="1"/>
    <s v="Packets"/>
    <n v="0"/>
    <n v="0"/>
    <n v="0"/>
    <n v="0"/>
    <n v="0"/>
    <n v="0"/>
    <n v="0"/>
    <n v="0"/>
    <s v="Yes"/>
    <n v="1"/>
    <s v="Packet"/>
  </r>
  <r>
    <n v="60"/>
    <x v="3"/>
    <x v="56"/>
    <m/>
    <x v="1"/>
    <x v="3"/>
    <s v="Chetna Ajeevika"/>
    <s v="Kharif"/>
    <s v="Yes"/>
    <s v="Not Applicable"/>
    <n v="200"/>
    <x v="0"/>
    <s v="120 days"/>
    <n v="1"/>
    <s v="Packets"/>
    <s v="No"/>
    <s v="N/A"/>
    <s v="N/A"/>
    <s v="N/A"/>
    <x v="0"/>
    <s v="N/A"/>
    <s v="N/A"/>
    <x v="0"/>
    <s v="N/A"/>
    <s v="N/A"/>
    <s v="No"/>
    <s v="N/A"/>
    <s v="N/A"/>
    <s v="No"/>
    <s v="N/A"/>
    <s v="N/A"/>
    <s v="No"/>
    <s v="N/A"/>
    <s v="N/A"/>
    <x v="1"/>
    <s v="N/A"/>
    <s v="N/A"/>
    <m/>
    <m/>
    <m/>
    <x v="1"/>
    <m/>
    <m/>
    <m/>
    <m/>
    <m/>
    <n v="1"/>
    <s v="Acre"/>
    <n v="16"/>
    <s v="Quintal"/>
    <n v="4"/>
    <s v="Quintal"/>
    <s v="Urea"/>
    <s v="Fertilizer"/>
    <n v="1"/>
    <s v="Packets"/>
    <n v="0"/>
    <n v="0"/>
    <n v="0"/>
    <n v="0"/>
    <n v="0"/>
    <n v="0"/>
    <n v="0"/>
    <n v="0"/>
    <s v="Yes"/>
    <n v="1"/>
    <s v="Packet"/>
  </r>
  <r>
    <n v="61"/>
    <x v="3"/>
    <x v="57"/>
    <m/>
    <x v="1"/>
    <x v="3"/>
    <s v="Chetna Ajeevika"/>
    <s v="Kharif"/>
    <s v="Yes"/>
    <s v="Not Applicable"/>
    <n v="200"/>
    <x v="0"/>
    <s v="120 days"/>
    <n v="1"/>
    <s v="Packets"/>
    <s v="No"/>
    <s v="N/A"/>
    <s v="N/A"/>
    <s v="N/A"/>
    <x v="0"/>
    <s v="N/A"/>
    <s v="N/A"/>
    <x v="0"/>
    <s v="N/A"/>
    <s v="N/A"/>
    <s v="No"/>
    <s v="N/A"/>
    <s v="N/A"/>
    <s v="No"/>
    <s v="N/A"/>
    <s v="N/A"/>
    <s v="No"/>
    <s v="N/A"/>
    <s v="N/A"/>
    <x v="1"/>
    <s v="N/A"/>
    <s v="N/A"/>
    <m/>
    <m/>
    <m/>
    <x v="1"/>
    <m/>
    <m/>
    <m/>
    <m/>
    <m/>
    <n v="1"/>
    <s v="Acre"/>
    <n v="16"/>
    <s v="Quintal"/>
    <n v="4"/>
    <s v="Quintal"/>
    <s v="Urea"/>
    <s v="Fertilizer"/>
    <n v="1"/>
    <s v="Packets"/>
    <n v="0"/>
    <n v="0"/>
    <n v="0"/>
    <n v="0"/>
    <n v="0"/>
    <n v="0"/>
    <n v="0"/>
    <n v="0"/>
    <s v="Yes"/>
    <n v="1"/>
    <s v="Packet"/>
  </r>
  <r>
    <n v="62"/>
    <x v="3"/>
    <x v="58"/>
    <m/>
    <x v="1"/>
    <x v="3"/>
    <s v="Chetna Ajeevika"/>
    <s v="Kharif"/>
    <s v="Yes"/>
    <s v="Not Applicable"/>
    <n v="200"/>
    <x v="0"/>
    <s v="120 days"/>
    <n v="1"/>
    <s v="Packets"/>
    <s v="No"/>
    <s v="N/A"/>
    <s v="N/A"/>
    <s v="N/A"/>
    <x v="0"/>
    <s v="N/A"/>
    <s v="N/A"/>
    <x v="0"/>
    <s v="N/A"/>
    <s v="N/A"/>
    <s v="No"/>
    <s v="N/A"/>
    <s v="N/A"/>
    <s v="No"/>
    <s v="N/A"/>
    <s v="N/A"/>
    <s v="No"/>
    <s v="N/A"/>
    <s v="N/A"/>
    <x v="1"/>
    <s v="N/A"/>
    <s v="N/A"/>
    <m/>
    <m/>
    <m/>
    <x v="1"/>
    <m/>
    <m/>
    <m/>
    <m/>
    <m/>
    <n v="1"/>
    <s v="Acre"/>
    <n v="16"/>
    <s v="Quintal"/>
    <n v="4"/>
    <s v="Quintal"/>
    <s v="Urea"/>
    <s v="Fertilizer"/>
    <n v="1"/>
    <s v="Packets"/>
    <n v="0"/>
    <n v="0"/>
    <n v="0"/>
    <n v="0"/>
    <n v="0"/>
    <n v="0"/>
    <n v="0"/>
    <n v="0"/>
    <s v="Yes"/>
    <n v="1"/>
    <s v="Packet"/>
  </r>
  <r>
    <n v="63"/>
    <x v="3"/>
    <x v="59"/>
    <m/>
    <x v="1"/>
    <x v="3"/>
    <s v="Chetna Ajeevika"/>
    <s v="Kharif"/>
    <s v="Yes"/>
    <s v="Not Applicable"/>
    <n v="200"/>
    <x v="0"/>
    <s v="120 days"/>
    <n v="1"/>
    <s v="Packets"/>
    <s v="No"/>
    <s v="N/A"/>
    <s v="N/A"/>
    <s v="N/A"/>
    <x v="0"/>
    <s v="N/A"/>
    <s v="N/A"/>
    <x v="0"/>
    <s v="N/A"/>
    <s v="N/A"/>
    <s v="No"/>
    <s v="N/A"/>
    <s v="N/A"/>
    <s v="No"/>
    <s v="N/A"/>
    <s v="N/A"/>
    <s v="No"/>
    <s v="N/A"/>
    <s v="N/A"/>
    <x v="1"/>
    <s v="N/A"/>
    <s v="N/A"/>
    <m/>
    <m/>
    <m/>
    <x v="1"/>
    <m/>
    <m/>
    <m/>
    <m/>
    <m/>
    <n v="1"/>
    <s v="Acre"/>
    <n v="16"/>
    <s v="Quintal"/>
    <n v="4"/>
    <s v="Quintal"/>
    <s v="Urea"/>
    <s v="Fertilizer"/>
    <n v="1"/>
    <s v="Packets"/>
    <n v="0"/>
    <n v="0"/>
    <n v="0"/>
    <n v="0"/>
    <n v="0"/>
    <n v="0"/>
    <n v="0"/>
    <n v="0"/>
    <s v="Yes"/>
    <n v="1"/>
    <s v="Packet"/>
  </r>
  <r>
    <n v="64"/>
    <x v="3"/>
    <x v="60"/>
    <m/>
    <x v="1"/>
    <x v="3"/>
    <s v="Chetna Ajeevika"/>
    <s v="Kharif"/>
    <s v="Yes"/>
    <s v="Not Applicable"/>
    <n v="200"/>
    <x v="0"/>
    <s v="120 days"/>
    <n v="1"/>
    <s v="Packets"/>
    <s v="No"/>
    <s v="N/A"/>
    <s v="N/A"/>
    <s v="N/A"/>
    <x v="0"/>
    <s v="N/A"/>
    <s v="N/A"/>
    <x v="0"/>
    <s v="N/A"/>
    <s v="N/A"/>
    <s v="No"/>
    <s v="N/A"/>
    <s v="N/A"/>
    <s v="No"/>
    <s v="N/A"/>
    <s v="N/A"/>
    <s v="No"/>
    <s v="N/A"/>
    <s v="N/A"/>
    <x v="1"/>
    <s v="N/A"/>
    <s v="N/A"/>
    <m/>
    <m/>
    <m/>
    <x v="1"/>
    <m/>
    <m/>
    <m/>
    <m/>
    <m/>
    <n v="1"/>
    <s v="Acre"/>
    <n v="16"/>
    <s v="Quintal"/>
    <n v="4"/>
    <s v="Quintal"/>
    <s v="Urea"/>
    <s v="Fertilizer"/>
    <n v="1"/>
    <s v="Packets"/>
    <n v="0"/>
    <n v="0"/>
    <n v="0"/>
    <n v="0"/>
    <n v="0"/>
    <n v="0"/>
    <n v="0"/>
    <n v="0"/>
    <s v="Yes"/>
    <n v="1"/>
    <s v="Packet"/>
  </r>
  <r>
    <n v="65"/>
    <x v="3"/>
    <x v="61"/>
    <m/>
    <x v="1"/>
    <x v="3"/>
    <s v="Chetna Ajeevika"/>
    <s v="Kharif"/>
    <s v="Yes"/>
    <s v="Not Applicable"/>
    <n v="200"/>
    <x v="0"/>
    <s v="120 days"/>
    <n v="1"/>
    <s v="Packets"/>
    <s v="No"/>
    <s v="N/A"/>
    <s v="N/A"/>
    <s v="N/A"/>
    <x v="0"/>
    <s v="N/A"/>
    <s v="N/A"/>
    <x v="0"/>
    <s v="N/A"/>
    <s v="N/A"/>
    <s v="No"/>
    <s v="N/A"/>
    <s v="N/A"/>
    <s v="No"/>
    <s v="N/A"/>
    <s v="N/A"/>
    <s v="No"/>
    <s v="N/A"/>
    <s v="N/A"/>
    <x v="1"/>
    <s v="N/A"/>
    <s v="N/A"/>
    <m/>
    <m/>
    <m/>
    <x v="1"/>
    <m/>
    <m/>
    <m/>
    <m/>
    <m/>
    <n v="1"/>
    <s v="Acre"/>
    <n v="16"/>
    <s v="Quintal"/>
    <n v="4"/>
    <s v="Quintal"/>
    <s v="Urea"/>
    <s v="Fertilizer"/>
    <n v="1"/>
    <s v="Packets"/>
    <n v="0"/>
    <n v="0"/>
    <n v="0"/>
    <n v="0"/>
    <n v="0"/>
    <n v="0"/>
    <n v="0"/>
    <n v="0"/>
    <s v="Yes"/>
    <n v="1"/>
    <s v="Packet"/>
  </r>
  <r>
    <n v="66"/>
    <x v="3"/>
    <x v="62"/>
    <m/>
    <x v="1"/>
    <x v="3"/>
    <s v="Chetna Ajeevika"/>
    <s v="Kharif"/>
    <s v="Yes"/>
    <s v="Not Applicable"/>
    <n v="200"/>
    <x v="0"/>
    <s v="120 days"/>
    <n v="1"/>
    <s v="Packets"/>
    <s v="No"/>
    <s v="N/A"/>
    <s v="N/A"/>
    <s v="N/A"/>
    <x v="0"/>
    <s v="N/A"/>
    <s v="N/A"/>
    <x v="0"/>
    <s v="N/A"/>
    <s v="N/A"/>
    <s v="No"/>
    <s v="N/A"/>
    <s v="N/A"/>
    <s v="No"/>
    <s v="N/A"/>
    <s v="N/A"/>
    <s v="No"/>
    <s v="N/A"/>
    <s v="N/A"/>
    <x v="1"/>
    <s v="N/A"/>
    <s v="N/A"/>
    <m/>
    <m/>
    <m/>
    <x v="1"/>
    <m/>
    <m/>
    <m/>
    <m/>
    <m/>
    <n v="1"/>
    <s v="Acre"/>
    <n v="16"/>
    <s v="Quintal"/>
    <n v="4"/>
    <s v="Quintal"/>
    <s v="Urea"/>
    <s v="Fertilizer"/>
    <n v="1"/>
    <s v="Packets"/>
    <n v="0"/>
    <n v="0"/>
    <n v="0"/>
    <n v="0"/>
    <n v="0"/>
    <n v="0"/>
    <n v="0"/>
    <n v="0"/>
    <s v="Yes"/>
    <n v="1"/>
    <s v="Packet"/>
  </r>
  <r>
    <n v="67"/>
    <x v="3"/>
    <x v="22"/>
    <m/>
    <x v="1"/>
    <x v="3"/>
    <s v="Chetna Ajeevika"/>
    <s v="Kharif"/>
    <s v="Yes"/>
    <s v="Not Applicable"/>
    <n v="200"/>
    <x v="0"/>
    <s v="120 days"/>
    <n v="1"/>
    <s v="Packets"/>
    <s v="No"/>
    <s v="N/A"/>
    <s v="N/A"/>
    <s v="N/A"/>
    <x v="0"/>
    <s v="N/A"/>
    <s v="N/A"/>
    <x v="0"/>
    <s v="N/A"/>
    <s v="N/A"/>
    <s v="No"/>
    <s v="N/A"/>
    <s v="N/A"/>
    <s v="No"/>
    <s v="N/A"/>
    <s v="N/A"/>
    <s v="No"/>
    <s v="N/A"/>
    <s v="N/A"/>
    <x v="1"/>
    <s v="N/A"/>
    <s v="N/A"/>
    <m/>
    <m/>
    <m/>
    <x v="1"/>
    <m/>
    <m/>
    <m/>
    <m/>
    <m/>
    <n v="1"/>
    <s v="Acre"/>
    <n v="16"/>
    <s v="Quintal"/>
    <n v="4"/>
    <s v="Quintal"/>
    <s v="Urea"/>
    <s v="Fertilizer"/>
    <n v="1"/>
    <s v="Packets"/>
    <n v="0"/>
    <n v="0"/>
    <n v="0"/>
    <n v="0"/>
    <n v="0"/>
    <n v="0"/>
    <n v="0"/>
    <n v="0"/>
    <s v="Yes"/>
    <n v="1"/>
    <s v="Packet"/>
  </r>
  <r>
    <n v="68"/>
    <x v="3"/>
    <x v="63"/>
    <m/>
    <x v="1"/>
    <x v="3"/>
    <s v="Chetna Ajeevika"/>
    <s v="Kharif"/>
    <s v="Yes"/>
    <s v="Not Applicable"/>
    <n v="200"/>
    <x v="0"/>
    <s v="120 days"/>
    <n v="1"/>
    <s v="Packets"/>
    <s v="No"/>
    <s v="N/A"/>
    <s v="N/A"/>
    <s v="N/A"/>
    <x v="0"/>
    <s v="N/A"/>
    <s v="N/A"/>
    <x v="0"/>
    <s v="N/A"/>
    <s v="N/A"/>
    <s v="No"/>
    <s v="N/A"/>
    <s v="N/A"/>
    <s v="No"/>
    <s v="N/A"/>
    <s v="N/A"/>
    <s v="No"/>
    <s v="N/A"/>
    <s v="N/A"/>
    <x v="1"/>
    <s v="N/A"/>
    <s v="N/A"/>
    <m/>
    <m/>
    <m/>
    <x v="1"/>
    <m/>
    <m/>
    <m/>
    <m/>
    <m/>
    <n v="1"/>
    <s v="Acre"/>
    <n v="16"/>
    <s v="Quintal"/>
    <n v="4"/>
    <s v="Quintal"/>
    <s v="Urea"/>
    <s v="Fertilizer"/>
    <n v="1"/>
    <s v="Packets"/>
    <n v="0"/>
    <n v="0"/>
    <n v="0"/>
    <n v="0"/>
    <n v="0"/>
    <n v="0"/>
    <n v="0"/>
    <n v="0"/>
    <s v="Yes"/>
    <n v="1"/>
    <s v="Packet"/>
  </r>
  <r>
    <n v="69"/>
    <x v="3"/>
    <x v="64"/>
    <m/>
    <x v="1"/>
    <x v="3"/>
    <s v="Chetna Ajeevika"/>
    <s v="Kharif"/>
    <s v="Yes"/>
    <s v="Not Applicable"/>
    <n v="200"/>
    <x v="0"/>
    <s v="120 days"/>
    <n v="1"/>
    <s v="Packets"/>
    <s v="No"/>
    <s v="N/A"/>
    <s v="N/A"/>
    <s v="N/A"/>
    <x v="0"/>
    <s v="N/A"/>
    <s v="N/A"/>
    <x v="0"/>
    <s v="N/A"/>
    <s v="N/A"/>
    <s v="No"/>
    <s v="N/A"/>
    <s v="N/A"/>
    <s v="No"/>
    <s v="N/A"/>
    <s v="N/A"/>
    <s v="No"/>
    <s v="N/A"/>
    <s v="N/A"/>
    <x v="1"/>
    <s v="N/A"/>
    <s v="N/A"/>
    <m/>
    <m/>
    <m/>
    <x v="1"/>
    <m/>
    <m/>
    <m/>
    <m/>
    <m/>
    <n v="1"/>
    <s v="Acre"/>
    <n v="16"/>
    <s v="Quintal"/>
    <n v="4"/>
    <s v="Quintal"/>
    <s v="Urea"/>
    <s v="Fertilizer"/>
    <n v="1"/>
    <s v="Packets"/>
    <n v="0"/>
    <n v="0"/>
    <n v="0"/>
    <n v="0"/>
    <n v="0"/>
    <n v="0"/>
    <n v="0"/>
    <n v="0"/>
    <s v="Yes"/>
    <n v="1"/>
    <s v="Packet"/>
  </r>
  <r>
    <n v="70"/>
    <x v="3"/>
    <x v="65"/>
    <m/>
    <x v="1"/>
    <x v="3"/>
    <s v="Chetna Ajeevika"/>
    <s v="Kharif"/>
    <s v="Yes"/>
    <s v="Not Applicable"/>
    <n v="200"/>
    <x v="0"/>
    <s v="120 days"/>
    <n v="1"/>
    <s v="Packets"/>
    <s v="No"/>
    <s v="N/A"/>
    <s v="N/A"/>
    <s v="N/A"/>
    <x v="0"/>
    <s v="N/A"/>
    <s v="N/A"/>
    <x v="0"/>
    <s v="N/A"/>
    <s v="N/A"/>
    <s v="No"/>
    <s v="N/A"/>
    <s v="N/A"/>
    <s v="No"/>
    <s v="N/A"/>
    <s v="N/A"/>
    <s v="No"/>
    <s v="N/A"/>
    <s v="N/A"/>
    <x v="1"/>
    <s v="N/A"/>
    <s v="N/A"/>
    <m/>
    <m/>
    <m/>
    <x v="1"/>
    <m/>
    <m/>
    <m/>
    <m/>
    <m/>
    <n v="1"/>
    <s v="Acre"/>
    <n v="16"/>
    <s v="Quintal"/>
    <n v="4"/>
    <s v="Quintal"/>
    <s v="Urea"/>
    <s v="Fertilizer"/>
    <n v="1"/>
    <s v="Packets"/>
    <n v="0"/>
    <n v="0"/>
    <n v="0"/>
    <n v="0"/>
    <n v="0"/>
    <n v="0"/>
    <n v="0"/>
    <n v="0"/>
    <s v="Yes"/>
    <n v="1"/>
    <s v="Packet"/>
  </r>
  <r>
    <n v="71"/>
    <x v="3"/>
    <x v="66"/>
    <m/>
    <x v="1"/>
    <x v="3"/>
    <s v="Chetna Ajeevika"/>
    <s v="Kharif"/>
    <s v="Yes"/>
    <s v="Not Applicable"/>
    <n v="200"/>
    <x v="0"/>
    <s v="120 days"/>
    <n v="1"/>
    <s v="Packets"/>
    <s v="No"/>
    <s v="N/A"/>
    <s v="N/A"/>
    <s v="N/A"/>
    <x v="0"/>
    <s v="N/A"/>
    <s v="N/A"/>
    <x v="0"/>
    <s v="N/A"/>
    <s v="N/A"/>
    <s v="No"/>
    <s v="N/A"/>
    <s v="N/A"/>
    <s v="No"/>
    <s v="N/A"/>
    <s v="N/A"/>
    <s v="No"/>
    <s v="N/A"/>
    <s v="N/A"/>
    <x v="1"/>
    <s v="N/A"/>
    <s v="N/A"/>
    <m/>
    <m/>
    <m/>
    <x v="1"/>
    <m/>
    <m/>
    <m/>
    <m/>
    <m/>
    <n v="1"/>
    <s v="Acre"/>
    <n v="16"/>
    <s v="Quintal"/>
    <n v="4"/>
    <s v="Quintal"/>
    <s v="Urea"/>
    <s v="Fertilizer"/>
    <n v="1"/>
    <s v="Packets"/>
    <n v="0"/>
    <n v="0"/>
    <n v="0"/>
    <n v="0"/>
    <n v="0"/>
    <n v="0"/>
    <n v="0"/>
    <n v="0"/>
    <s v="Yes"/>
    <n v="1"/>
    <s v="Packet"/>
  </r>
  <r>
    <n v="72"/>
    <x v="3"/>
    <x v="67"/>
    <m/>
    <x v="1"/>
    <x v="3"/>
    <s v="Chetna Ajeevika"/>
    <s v="Kharif"/>
    <s v="Yes"/>
    <s v="Not Applicable"/>
    <n v="200"/>
    <x v="0"/>
    <s v="120 days"/>
    <n v="1"/>
    <s v="Packets"/>
    <s v="No"/>
    <s v="N/A"/>
    <s v="N/A"/>
    <s v="N/A"/>
    <x v="0"/>
    <s v="N/A"/>
    <s v="N/A"/>
    <x v="0"/>
    <s v="N/A"/>
    <s v="N/A"/>
    <s v="No"/>
    <s v="N/A"/>
    <s v="N/A"/>
    <s v="No"/>
    <s v="N/A"/>
    <s v="N/A"/>
    <s v="No"/>
    <s v="N/A"/>
    <s v="N/A"/>
    <x v="1"/>
    <s v="N/A"/>
    <s v="N/A"/>
    <m/>
    <m/>
    <m/>
    <x v="1"/>
    <m/>
    <m/>
    <m/>
    <m/>
    <m/>
    <n v="1"/>
    <s v="Acre"/>
    <n v="16"/>
    <s v="Quintal"/>
    <n v="4"/>
    <s v="Quintal"/>
    <s v="Urea"/>
    <s v="Fertilizer"/>
    <n v="1"/>
    <s v="Packets"/>
    <n v="0"/>
    <n v="0"/>
    <n v="0"/>
    <n v="0"/>
    <n v="0"/>
    <n v="0"/>
    <n v="0"/>
    <n v="0"/>
    <s v="Yes"/>
    <n v="1"/>
    <s v="Packet"/>
  </r>
  <r>
    <n v="73"/>
    <x v="3"/>
    <x v="68"/>
    <m/>
    <x v="1"/>
    <x v="3"/>
    <s v="Chetna Ajeevika"/>
    <s v="Kharif"/>
    <s v="Yes"/>
    <s v="Not Applicable"/>
    <n v="200"/>
    <x v="0"/>
    <s v="120 days"/>
    <n v="1"/>
    <s v="Packets"/>
    <s v="No"/>
    <s v="N/A"/>
    <s v="N/A"/>
    <s v="N/A"/>
    <x v="0"/>
    <s v="N/A"/>
    <s v="N/A"/>
    <x v="0"/>
    <s v="N/A"/>
    <s v="N/A"/>
    <s v="No"/>
    <s v="N/A"/>
    <s v="N/A"/>
    <s v="No"/>
    <s v="N/A"/>
    <s v="N/A"/>
    <s v="No"/>
    <s v="N/A"/>
    <s v="N/A"/>
    <x v="1"/>
    <s v="N/A"/>
    <s v="N/A"/>
    <m/>
    <m/>
    <m/>
    <x v="1"/>
    <m/>
    <m/>
    <m/>
    <m/>
    <m/>
    <n v="1"/>
    <s v="Acre"/>
    <n v="16"/>
    <s v="Quintal"/>
    <n v="4"/>
    <s v="Quintal"/>
    <s v="Urea"/>
    <s v="Fertilizer"/>
    <n v="1"/>
    <s v="Packets"/>
    <n v="0"/>
    <n v="0"/>
    <n v="0"/>
    <n v="0"/>
    <n v="0"/>
    <n v="0"/>
    <n v="0"/>
    <n v="0"/>
    <s v="Yes"/>
    <n v="1"/>
    <s v="Packet"/>
  </r>
  <r>
    <n v="74"/>
    <x v="3"/>
    <x v="69"/>
    <m/>
    <x v="1"/>
    <x v="3"/>
    <s v="Om Shanti Ajeevika"/>
    <s v="Kharif"/>
    <s v="Yes"/>
    <s v="Not Applicable"/>
    <n v="200"/>
    <x v="0"/>
    <s v="120 days"/>
    <n v="1"/>
    <s v="Packets"/>
    <s v="No"/>
    <s v="N/A"/>
    <s v="N/A"/>
    <s v="N/A"/>
    <x v="0"/>
    <s v="N/A"/>
    <s v="N/A"/>
    <x v="0"/>
    <s v="N/A"/>
    <s v="N/A"/>
    <s v="No"/>
    <s v="N/A"/>
    <s v="N/A"/>
    <s v="No"/>
    <s v="N/A"/>
    <s v="N/A"/>
    <s v="No"/>
    <s v="N/A"/>
    <s v="N/A"/>
    <x v="1"/>
    <s v="N/A"/>
    <s v="N/A"/>
    <m/>
    <m/>
    <m/>
    <x v="1"/>
    <m/>
    <m/>
    <m/>
    <m/>
    <m/>
    <n v="1"/>
    <s v="Acre"/>
    <n v="16"/>
    <s v="Quintal"/>
    <n v="4"/>
    <s v="Quintal"/>
    <s v="Urea"/>
    <s v="Fertilizer"/>
    <n v="1"/>
    <s v="Packets"/>
    <n v="0"/>
    <n v="0"/>
    <n v="0"/>
    <n v="0"/>
    <n v="0"/>
    <n v="0"/>
    <n v="0"/>
    <n v="0"/>
    <s v="Yes"/>
    <n v="1"/>
    <s v="Packet"/>
  </r>
  <r>
    <n v="75"/>
    <x v="3"/>
    <x v="70"/>
    <m/>
    <x v="1"/>
    <x v="3"/>
    <s v="Om Shanti Ajeevika"/>
    <s v="Kharif"/>
    <s v="Yes"/>
    <s v="Not Applicable"/>
    <n v="200"/>
    <x v="0"/>
    <s v="120 days"/>
    <n v="1"/>
    <s v="Packets"/>
    <s v="No"/>
    <s v="N/A"/>
    <s v="N/A"/>
    <s v="N/A"/>
    <x v="0"/>
    <s v="N/A"/>
    <s v="N/A"/>
    <x v="0"/>
    <s v="N/A"/>
    <s v="N/A"/>
    <s v="No"/>
    <s v="N/A"/>
    <s v="N/A"/>
    <s v="No"/>
    <s v="N/A"/>
    <s v="N/A"/>
    <s v="No"/>
    <s v="N/A"/>
    <s v="N/A"/>
    <x v="1"/>
    <s v="N/A"/>
    <s v="N/A"/>
    <m/>
    <m/>
    <m/>
    <x v="1"/>
    <m/>
    <m/>
    <m/>
    <m/>
    <m/>
    <n v="1"/>
    <s v="Acre"/>
    <n v="16"/>
    <s v="Quintal"/>
    <n v="4"/>
    <s v="Quintal"/>
    <s v="Urea"/>
    <s v="Fertilizer"/>
    <n v="1"/>
    <s v="Packets"/>
    <n v="0"/>
    <n v="0"/>
    <n v="0"/>
    <n v="0"/>
    <n v="0"/>
    <n v="0"/>
    <n v="0"/>
    <n v="0"/>
    <s v="Yes"/>
    <n v="1"/>
    <s v="Packet"/>
  </r>
  <r>
    <n v="76"/>
    <x v="3"/>
    <x v="71"/>
    <m/>
    <x v="1"/>
    <x v="3"/>
    <s v="Om Shanti Ajeevika"/>
    <s v="Kharif"/>
    <s v="Yes"/>
    <s v="Not Applicable"/>
    <n v="200"/>
    <x v="0"/>
    <s v="120 days"/>
    <n v="1"/>
    <s v="Packets"/>
    <s v="No"/>
    <s v="N/A"/>
    <s v="N/A"/>
    <s v="N/A"/>
    <x v="0"/>
    <s v="N/A"/>
    <s v="N/A"/>
    <x v="0"/>
    <s v="N/A"/>
    <s v="N/A"/>
    <s v="No"/>
    <s v="N/A"/>
    <s v="N/A"/>
    <s v="No"/>
    <s v="N/A"/>
    <s v="N/A"/>
    <s v="No"/>
    <s v="N/A"/>
    <s v="N/A"/>
    <x v="1"/>
    <s v="N/A"/>
    <s v="N/A"/>
    <m/>
    <m/>
    <m/>
    <x v="1"/>
    <m/>
    <m/>
    <m/>
    <m/>
    <m/>
    <n v="1"/>
    <s v="Acre"/>
    <n v="16"/>
    <s v="Quintal"/>
    <n v="4"/>
    <s v="Quintal"/>
    <s v="Urea"/>
    <s v="Fertilizer"/>
    <n v="1"/>
    <s v="Packets"/>
    <n v="0"/>
    <n v="0"/>
    <n v="0"/>
    <n v="0"/>
    <n v="0"/>
    <n v="0"/>
    <n v="0"/>
    <n v="0"/>
    <s v="Yes"/>
    <n v="1"/>
    <s v="Packet"/>
  </r>
  <r>
    <n v="77"/>
    <x v="3"/>
    <x v="72"/>
    <m/>
    <x v="1"/>
    <x v="3"/>
    <s v="Om Shanti Ajeevika"/>
    <s v="Kharif"/>
    <s v="Yes"/>
    <s v="Not Applicable"/>
    <n v="200"/>
    <x v="0"/>
    <s v="120 days"/>
    <n v="1"/>
    <s v="Packets"/>
    <s v="No"/>
    <s v="N/A"/>
    <s v="N/A"/>
    <s v="N/A"/>
    <x v="0"/>
    <s v="N/A"/>
    <s v="N/A"/>
    <x v="0"/>
    <s v="N/A"/>
    <s v="N/A"/>
    <s v="No"/>
    <s v="N/A"/>
    <s v="N/A"/>
    <s v="No"/>
    <s v="N/A"/>
    <s v="N/A"/>
    <s v="No"/>
    <s v="N/A"/>
    <s v="N/A"/>
    <x v="1"/>
    <s v="N/A"/>
    <s v="N/A"/>
    <m/>
    <m/>
    <m/>
    <x v="1"/>
    <m/>
    <m/>
    <m/>
    <m/>
    <m/>
    <n v="1"/>
    <s v="Acre"/>
    <n v="16"/>
    <s v="Quintal"/>
    <n v="4"/>
    <s v="Quintal"/>
    <s v="Urea"/>
    <s v="Fertilizer"/>
    <n v="1"/>
    <s v="Packets"/>
    <n v="0"/>
    <n v="0"/>
    <n v="0"/>
    <n v="0"/>
    <n v="0"/>
    <n v="0"/>
    <n v="0"/>
    <n v="0"/>
    <s v="Yes"/>
    <n v="1"/>
    <s v="Packet"/>
  </r>
  <r>
    <n v="78"/>
    <x v="3"/>
    <x v="73"/>
    <m/>
    <x v="1"/>
    <x v="3"/>
    <s v="Om Shanti Ajeevika"/>
    <s v="Kharif"/>
    <s v="Yes"/>
    <s v="Not Applicable"/>
    <n v="200"/>
    <x v="0"/>
    <s v="120 days"/>
    <n v="1"/>
    <s v="Packets"/>
    <s v="No"/>
    <s v="N/A"/>
    <s v="N/A"/>
    <s v="N/A"/>
    <x v="0"/>
    <s v="N/A"/>
    <s v="N/A"/>
    <x v="0"/>
    <s v="N/A"/>
    <s v="N/A"/>
    <s v="No"/>
    <s v="N/A"/>
    <s v="N/A"/>
    <s v="No"/>
    <s v="N/A"/>
    <s v="N/A"/>
    <s v="No"/>
    <s v="N/A"/>
    <s v="N/A"/>
    <x v="1"/>
    <s v="N/A"/>
    <s v="N/A"/>
    <m/>
    <m/>
    <m/>
    <x v="1"/>
    <m/>
    <m/>
    <m/>
    <m/>
    <m/>
    <n v="1"/>
    <s v="Acre"/>
    <n v="16"/>
    <s v="Quintal"/>
    <n v="4"/>
    <s v="Quintal"/>
    <s v="Urea"/>
    <s v="Fertilizer"/>
    <n v="1"/>
    <s v="Packets"/>
    <n v="0"/>
    <n v="0"/>
    <n v="0"/>
    <n v="0"/>
    <n v="0"/>
    <n v="0"/>
    <n v="0"/>
    <n v="0"/>
    <s v="Yes"/>
    <n v="1"/>
    <s v="Packet"/>
  </r>
  <r>
    <n v="79"/>
    <x v="3"/>
    <x v="74"/>
    <m/>
    <x v="1"/>
    <x v="3"/>
    <s v="Om Shanti Ajeevika"/>
    <s v="Kharif"/>
    <s v="Yes"/>
    <s v="Not Applicable"/>
    <n v="200"/>
    <x v="0"/>
    <s v="120 days"/>
    <n v="1"/>
    <s v="Packets"/>
    <s v="No"/>
    <s v="N/A"/>
    <s v="N/A"/>
    <s v="N/A"/>
    <x v="0"/>
    <s v="N/A"/>
    <s v="N/A"/>
    <x v="0"/>
    <s v="N/A"/>
    <s v="N/A"/>
    <s v="No"/>
    <s v="N/A"/>
    <s v="N/A"/>
    <s v="No"/>
    <s v="N/A"/>
    <s v="N/A"/>
    <s v="No"/>
    <s v="N/A"/>
    <s v="N/A"/>
    <x v="1"/>
    <s v="N/A"/>
    <s v="N/A"/>
    <m/>
    <m/>
    <m/>
    <x v="1"/>
    <m/>
    <m/>
    <m/>
    <m/>
    <m/>
    <n v="1"/>
    <s v="Acre"/>
    <n v="16"/>
    <s v="Quintal"/>
    <n v="4"/>
    <s v="Quintal"/>
    <s v="Urea"/>
    <s v="Fertilizer"/>
    <n v="1"/>
    <s v="Packets"/>
    <n v="0"/>
    <n v="0"/>
    <n v="0"/>
    <n v="0"/>
    <n v="0"/>
    <n v="0"/>
    <n v="0"/>
    <n v="0"/>
    <s v="Yes"/>
    <n v="1"/>
    <s v="Packet"/>
  </r>
  <r>
    <n v="80"/>
    <x v="3"/>
    <x v="75"/>
    <m/>
    <x v="1"/>
    <x v="3"/>
    <s v="Om Shanti Ajeevika"/>
    <s v="Kharif"/>
    <s v="Yes"/>
    <s v="Not Applicable"/>
    <n v="200"/>
    <x v="0"/>
    <s v="120 days"/>
    <n v="1"/>
    <s v="Packets"/>
    <s v="No"/>
    <s v="N/A"/>
    <s v="N/A"/>
    <s v="N/A"/>
    <x v="0"/>
    <s v="N/A"/>
    <s v="N/A"/>
    <x v="0"/>
    <s v="N/A"/>
    <s v="N/A"/>
    <s v="No"/>
    <s v="N/A"/>
    <s v="N/A"/>
    <s v="No"/>
    <s v="N/A"/>
    <s v="N/A"/>
    <s v="No"/>
    <s v="N/A"/>
    <s v="N/A"/>
    <x v="1"/>
    <s v="N/A"/>
    <s v="N/A"/>
    <m/>
    <m/>
    <m/>
    <x v="1"/>
    <m/>
    <m/>
    <m/>
    <m/>
    <m/>
    <n v="1"/>
    <s v="Acre"/>
    <n v="16"/>
    <s v="Quintal"/>
    <n v="4"/>
    <s v="Quintal"/>
    <s v="Urea"/>
    <s v="Fertilizer"/>
    <n v="1"/>
    <s v="Packets"/>
    <n v="0"/>
    <n v="0"/>
    <n v="0"/>
    <n v="0"/>
    <n v="0"/>
    <n v="0"/>
    <n v="0"/>
    <n v="0"/>
    <s v="Yes"/>
    <n v="1"/>
    <s v="Packet"/>
  </r>
  <r>
    <n v="81"/>
    <x v="3"/>
    <x v="76"/>
    <m/>
    <x v="1"/>
    <x v="3"/>
    <s v="Om Shanti Ajeevika"/>
    <s v="Kharif"/>
    <s v="Yes"/>
    <s v="Not Applicable"/>
    <n v="200"/>
    <x v="0"/>
    <s v="120 days"/>
    <n v="1"/>
    <s v="Packets"/>
    <s v="No"/>
    <s v="N/A"/>
    <s v="N/A"/>
    <s v="N/A"/>
    <x v="0"/>
    <s v="N/A"/>
    <s v="N/A"/>
    <x v="0"/>
    <s v="N/A"/>
    <s v="N/A"/>
    <s v="No"/>
    <s v="N/A"/>
    <s v="N/A"/>
    <s v="No"/>
    <s v="N/A"/>
    <s v="N/A"/>
    <s v="No"/>
    <s v="N/A"/>
    <s v="N/A"/>
    <x v="1"/>
    <s v="N/A"/>
    <s v="N/A"/>
    <m/>
    <m/>
    <m/>
    <x v="1"/>
    <m/>
    <m/>
    <m/>
    <m/>
    <m/>
    <n v="1"/>
    <s v="Acre"/>
    <n v="16"/>
    <s v="Quintal"/>
    <n v="4"/>
    <s v="Quintal"/>
    <s v="Urea"/>
    <s v="Fertilizer"/>
    <n v="1"/>
    <s v="Packets"/>
    <n v="0"/>
    <n v="0"/>
    <n v="0"/>
    <n v="0"/>
    <n v="0"/>
    <n v="0"/>
    <n v="0"/>
    <n v="0"/>
    <s v="Yes"/>
    <n v="1"/>
    <s v="Packet"/>
  </r>
  <r>
    <n v="82"/>
    <x v="3"/>
    <x v="77"/>
    <m/>
    <x v="1"/>
    <x v="3"/>
    <s v="Om Shanti Ajeevika"/>
    <s v="Kharif"/>
    <s v="Yes"/>
    <s v="Not Applicable"/>
    <n v="200"/>
    <x v="0"/>
    <s v="120 days"/>
    <n v="1"/>
    <s v="Packets"/>
    <s v="No"/>
    <s v="N/A"/>
    <s v="N/A"/>
    <s v="N/A"/>
    <x v="0"/>
    <s v="N/A"/>
    <s v="N/A"/>
    <x v="0"/>
    <s v="N/A"/>
    <s v="N/A"/>
    <s v="No"/>
    <s v="N/A"/>
    <s v="N/A"/>
    <s v="No"/>
    <s v="N/A"/>
    <s v="N/A"/>
    <s v="No"/>
    <s v="N/A"/>
    <s v="N/A"/>
    <x v="1"/>
    <s v="N/A"/>
    <s v="N/A"/>
    <m/>
    <m/>
    <m/>
    <x v="1"/>
    <m/>
    <m/>
    <m/>
    <m/>
    <m/>
    <n v="1"/>
    <s v="Acre"/>
    <n v="16"/>
    <s v="Quintal"/>
    <n v="4"/>
    <s v="Quintal"/>
    <s v="Urea"/>
    <s v="Fertilizer"/>
    <n v="1"/>
    <s v="Packets"/>
    <n v="0"/>
    <n v="0"/>
    <n v="0"/>
    <n v="0"/>
    <n v="0"/>
    <n v="0"/>
    <n v="0"/>
    <n v="0"/>
    <s v="Yes"/>
    <n v="1"/>
    <s v="Packet"/>
  </r>
  <r>
    <n v="83"/>
    <x v="3"/>
    <x v="78"/>
    <m/>
    <x v="1"/>
    <x v="3"/>
    <s v="Om Shanti Ajeevika"/>
    <s v="Kharif"/>
    <s v="Yes"/>
    <s v="Not Applicable"/>
    <n v="200"/>
    <x v="0"/>
    <s v="120 days"/>
    <n v="1"/>
    <s v="Packets"/>
    <s v="No"/>
    <s v="N/A"/>
    <s v="N/A"/>
    <s v="N/A"/>
    <x v="0"/>
    <s v="N/A"/>
    <s v="N/A"/>
    <x v="0"/>
    <s v="N/A"/>
    <s v="N/A"/>
    <s v="No"/>
    <s v="N/A"/>
    <s v="N/A"/>
    <s v="No"/>
    <s v="N/A"/>
    <s v="N/A"/>
    <s v="No"/>
    <s v="N/A"/>
    <s v="N/A"/>
    <x v="1"/>
    <s v="N/A"/>
    <s v="N/A"/>
    <m/>
    <m/>
    <m/>
    <x v="1"/>
    <m/>
    <m/>
    <m/>
    <m/>
    <m/>
    <n v="1"/>
    <s v="Acre"/>
    <n v="16"/>
    <s v="Quintal"/>
    <n v="4"/>
    <s v="Quintal"/>
    <s v="Urea"/>
    <s v="Fertilizer"/>
    <n v="1"/>
    <s v="Packets"/>
    <n v="0"/>
    <n v="0"/>
    <n v="0"/>
    <n v="0"/>
    <n v="0"/>
    <n v="0"/>
    <n v="0"/>
    <n v="0"/>
    <s v="Yes"/>
    <n v="1"/>
    <s v="Packet"/>
  </r>
  <r>
    <n v="84"/>
    <x v="3"/>
    <x v="79"/>
    <m/>
    <x v="1"/>
    <x v="3"/>
    <s v="Om Shanti Ajeevika"/>
    <s v="Kharif"/>
    <s v="Yes"/>
    <s v="Not Applicable"/>
    <n v="200"/>
    <x v="0"/>
    <s v="120 days"/>
    <n v="1"/>
    <s v="Packets"/>
    <s v="No"/>
    <s v="N/A"/>
    <s v="N/A"/>
    <s v="N/A"/>
    <x v="0"/>
    <s v="N/A"/>
    <s v="N/A"/>
    <x v="0"/>
    <s v="N/A"/>
    <s v="N/A"/>
    <s v="No"/>
    <s v="N/A"/>
    <s v="N/A"/>
    <s v="No"/>
    <s v="N/A"/>
    <s v="N/A"/>
    <s v="No"/>
    <s v="N/A"/>
    <s v="N/A"/>
    <x v="1"/>
    <s v="N/A"/>
    <s v="N/A"/>
    <m/>
    <m/>
    <m/>
    <x v="1"/>
    <m/>
    <m/>
    <m/>
    <m/>
    <m/>
    <n v="1"/>
    <s v="Acre"/>
    <n v="16"/>
    <s v="Quintal"/>
    <n v="4"/>
    <s v="Quintal"/>
    <s v="Urea"/>
    <s v="Fertilizer"/>
    <n v="1"/>
    <s v="Packets"/>
    <n v="0"/>
    <n v="0"/>
    <n v="0"/>
    <n v="0"/>
    <n v="0"/>
    <n v="0"/>
    <n v="0"/>
    <n v="0"/>
    <s v="Yes"/>
    <n v="1"/>
    <s v="Packet"/>
  </r>
  <r>
    <n v="85"/>
    <x v="3"/>
    <x v="80"/>
    <m/>
    <x v="1"/>
    <x v="3"/>
    <s v="Om Shanti Ajeevika"/>
    <s v="Kharif"/>
    <s v="Yes"/>
    <s v="Not Applicable"/>
    <n v="200"/>
    <x v="0"/>
    <s v="120 days"/>
    <n v="1"/>
    <s v="Packets"/>
    <s v="No"/>
    <s v="N/A"/>
    <s v="N/A"/>
    <s v="N/A"/>
    <x v="0"/>
    <s v="N/A"/>
    <s v="N/A"/>
    <x v="0"/>
    <s v="N/A"/>
    <s v="N/A"/>
    <s v="No"/>
    <s v="N/A"/>
    <s v="N/A"/>
    <s v="No"/>
    <s v="N/A"/>
    <s v="N/A"/>
    <s v="No"/>
    <s v="N/A"/>
    <s v="N/A"/>
    <x v="1"/>
    <s v="N/A"/>
    <s v="N/A"/>
    <m/>
    <m/>
    <m/>
    <x v="1"/>
    <m/>
    <m/>
    <m/>
    <m/>
    <m/>
    <n v="1"/>
    <s v="Acre"/>
    <n v="16"/>
    <s v="Quintal"/>
    <n v="4"/>
    <s v="Quintal"/>
    <s v="Urea"/>
    <s v="Fertilizer"/>
    <n v="1"/>
    <s v="Packets"/>
    <n v="0"/>
    <n v="0"/>
    <n v="0"/>
    <n v="0"/>
    <n v="0"/>
    <n v="0"/>
    <n v="0"/>
    <n v="0"/>
    <s v="Yes"/>
    <n v="1"/>
    <s v="Packe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BB201E-F473-4700-9951-70D86BBF6A25}" name="PivotTable7" cacheId="5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chartFormat="7" rowHeaderCaption="Reason for not buying">
  <location ref="H46:I51" firstHeaderRow="1" firstDataRow="1" firstDataCol="1"/>
  <pivotFields count="2">
    <pivotField dataField="1" showAll="0"/>
    <pivotField axis="axisRow" showAll="0">
      <items count="5">
        <item x="3"/>
        <item x="0"/>
        <item x="1"/>
        <item x="2"/>
        <item t="default"/>
      </items>
    </pivotField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ount of farmers" fld="0" subtotal="count" baseField="0" baseItem="0"/>
  </dataFields>
  <formats count="7">
    <format dxfId="473">
      <pivotArea type="all" dataOnly="0" outline="0" fieldPosition="0"/>
    </format>
    <format dxfId="472">
      <pivotArea outline="0" collapsedLevelsAreSubtotals="1" fieldPosition="0"/>
    </format>
    <format dxfId="471">
      <pivotArea field="1" type="button" dataOnly="0" labelOnly="1" outline="0" axis="axisRow" fieldPosition="0"/>
    </format>
    <format dxfId="470">
      <pivotArea dataOnly="0" labelOnly="1" fieldPosition="0">
        <references count="1">
          <reference field="1" count="0"/>
        </references>
      </pivotArea>
    </format>
    <format dxfId="469">
      <pivotArea dataOnly="0" labelOnly="1" grandRow="1" outline="0" fieldPosition="0"/>
    </format>
    <format dxfId="468">
      <pivotArea dataOnly="0" labelOnly="1" outline="0" axis="axisValues" fieldPosition="0"/>
    </format>
    <format dxfId="467">
      <pivotArea dataOnly="0" outline="0" axis="axisValues" fieldPosition="0"/>
    </format>
  </formats>
  <chartFormats count="1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6EE35B8-D175-4CA8-9539-83CBA8DAA0F8}" name="PivotTable4" cacheId="6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B17:F23" firstHeaderRow="1" firstDataRow="2" firstDataCol="1"/>
  <pivotFields count="58">
    <pivotField showAll="0"/>
    <pivotField axis="axisRow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4">
        <item x="1"/>
        <item x="0"/>
        <item x="2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32"/>
  </colFields>
  <colItems count="4">
    <i>
      <x/>
    </i>
    <i>
      <x v="1"/>
    </i>
    <i>
      <x v="2"/>
    </i>
    <i t="grand">
      <x/>
    </i>
  </colItems>
  <dataFields count="1">
    <dataField name="Sum of Quantity8" fld="33" baseField="1" baseItem="0"/>
  </dataFields>
  <formats count="20">
    <format dxfId="418">
      <pivotArea type="all" dataOnly="0" outline="0" fieldPosition="0"/>
    </format>
    <format dxfId="417">
      <pivotArea outline="0" collapsedLevelsAreSubtotals="1" fieldPosition="0"/>
    </format>
    <format dxfId="416">
      <pivotArea type="origin" dataOnly="0" labelOnly="1" outline="0" fieldPosition="0"/>
    </format>
    <format dxfId="415">
      <pivotArea field="32" type="button" dataOnly="0" labelOnly="1" outline="0" axis="axisCol" fieldPosition="0"/>
    </format>
    <format dxfId="414">
      <pivotArea type="topRight" dataOnly="0" labelOnly="1" outline="0" fieldPosition="0"/>
    </format>
    <format dxfId="413">
      <pivotArea field="1" type="button" dataOnly="0" labelOnly="1" outline="0" axis="axisRow" fieldPosition="0"/>
    </format>
    <format dxfId="412">
      <pivotArea dataOnly="0" labelOnly="1" fieldPosition="0">
        <references count="1">
          <reference field="1" count="0"/>
        </references>
      </pivotArea>
    </format>
    <format dxfId="411">
      <pivotArea dataOnly="0" labelOnly="1" grandRow="1" outline="0" fieldPosition="0"/>
    </format>
    <format dxfId="410">
      <pivotArea dataOnly="0" labelOnly="1" fieldPosition="0">
        <references count="1">
          <reference field="32" count="0"/>
        </references>
      </pivotArea>
    </format>
    <format dxfId="409">
      <pivotArea dataOnly="0" labelOnly="1" grandCol="1" outline="0" fieldPosition="0"/>
    </format>
    <format dxfId="408">
      <pivotArea type="all" dataOnly="0" outline="0" fieldPosition="0"/>
    </format>
    <format dxfId="407">
      <pivotArea outline="0" collapsedLevelsAreSubtotals="1" fieldPosition="0"/>
    </format>
    <format dxfId="406">
      <pivotArea type="origin" dataOnly="0" labelOnly="1" outline="0" fieldPosition="0"/>
    </format>
    <format dxfId="405">
      <pivotArea field="32" type="button" dataOnly="0" labelOnly="1" outline="0" axis="axisCol" fieldPosition="0"/>
    </format>
    <format dxfId="404">
      <pivotArea type="topRight" dataOnly="0" labelOnly="1" outline="0" fieldPosition="0"/>
    </format>
    <format dxfId="403">
      <pivotArea field="1" type="button" dataOnly="0" labelOnly="1" outline="0" axis="axisRow" fieldPosition="0"/>
    </format>
    <format dxfId="402">
      <pivotArea dataOnly="0" labelOnly="1" fieldPosition="0">
        <references count="1">
          <reference field="1" count="0"/>
        </references>
      </pivotArea>
    </format>
    <format dxfId="401">
      <pivotArea dataOnly="0" labelOnly="1" grandRow="1" outline="0" fieldPosition="0"/>
    </format>
    <format dxfId="400">
      <pivotArea dataOnly="0" labelOnly="1" fieldPosition="0">
        <references count="1">
          <reference field="32" count="0"/>
        </references>
      </pivotArea>
    </format>
    <format dxfId="399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5BC86F0-7670-4EF7-8741-CB6BA0B0CCF4}" name="PivotTable3" cacheId="7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B3:C6" firstHeaderRow="1" firstDataRow="1" firstDataCol="1"/>
  <pivotFields count="67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3">
        <item x="1"/>
        <item x="0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4"/>
  </rowFields>
  <rowItems count="3">
    <i>
      <x/>
    </i>
    <i>
      <x v="1"/>
    </i>
    <i t="grand">
      <x/>
    </i>
  </rowItems>
  <colItems count="1">
    <i/>
  </colItems>
  <dataFields count="1">
    <dataField name="Sum of Quantity8" fld="35" baseField="34" baseItem="0"/>
  </dataFields>
  <formats count="12">
    <format dxfId="430">
      <pivotArea type="all" dataOnly="0" outline="0" fieldPosition="0"/>
    </format>
    <format dxfId="429">
      <pivotArea outline="0" collapsedLevelsAreSubtotals="1" fieldPosition="0"/>
    </format>
    <format dxfId="428">
      <pivotArea field="34" type="button" dataOnly="0" labelOnly="1" outline="0" axis="axisRow" fieldPosition="0"/>
    </format>
    <format dxfId="427">
      <pivotArea dataOnly="0" labelOnly="1" fieldPosition="0">
        <references count="1">
          <reference field="34" count="0"/>
        </references>
      </pivotArea>
    </format>
    <format dxfId="426">
      <pivotArea dataOnly="0" labelOnly="1" grandRow="1" outline="0" fieldPosition="0"/>
    </format>
    <format dxfId="425">
      <pivotArea dataOnly="0" labelOnly="1" outline="0" axis="axisValues" fieldPosition="0"/>
    </format>
    <format dxfId="424">
      <pivotArea type="all" dataOnly="0" outline="0" fieldPosition="0"/>
    </format>
    <format dxfId="423">
      <pivotArea outline="0" collapsedLevelsAreSubtotals="1" fieldPosition="0"/>
    </format>
    <format dxfId="422">
      <pivotArea field="34" type="button" dataOnly="0" labelOnly="1" outline="0" axis="axisRow" fieldPosition="0"/>
    </format>
    <format dxfId="421">
      <pivotArea dataOnly="0" labelOnly="1" fieldPosition="0">
        <references count="1">
          <reference field="34" count="0"/>
        </references>
      </pivotArea>
    </format>
    <format dxfId="420">
      <pivotArea dataOnly="0" labelOnly="1" grandRow="1" outline="0" fieldPosition="0"/>
    </format>
    <format dxfId="419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ECAC159-5521-4AF2-AA06-B61B4B3D1405}" name="PivotTable8" cacheId="7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B29:E112" firstHeaderRow="1" firstDataRow="2" firstDataCol="1" rowPageCount="1" colPageCount="1"/>
  <pivotFields count="67">
    <pivotField showAll="0"/>
    <pivotField showAll="0"/>
    <pivotField axis="axisRow" showAll="0">
      <items count="82">
        <item x="43"/>
        <item x="13"/>
        <item x="44"/>
        <item x="29"/>
        <item x="55"/>
        <item x="45"/>
        <item x="46"/>
        <item x="19"/>
        <item x="56"/>
        <item x="12"/>
        <item x="30"/>
        <item x="69"/>
        <item x="47"/>
        <item x="57"/>
        <item x="8"/>
        <item x="4"/>
        <item x="10"/>
        <item x="58"/>
        <item x="70"/>
        <item x="31"/>
        <item x="59"/>
        <item x="7"/>
        <item x="71"/>
        <item x="32"/>
        <item x="20"/>
        <item x="16"/>
        <item x="48"/>
        <item x="1"/>
        <item x="21"/>
        <item x="6"/>
        <item x="72"/>
        <item x="73"/>
        <item x="0"/>
        <item x="60"/>
        <item x="74"/>
        <item x="61"/>
        <item x="49"/>
        <item x="62"/>
        <item x="14"/>
        <item x="33"/>
        <item x="11"/>
        <item x="41"/>
        <item x="50"/>
        <item x="22"/>
        <item x="75"/>
        <item x="63"/>
        <item x="34"/>
        <item x="64"/>
        <item x="51"/>
        <item x="23"/>
        <item x="76"/>
        <item x="65"/>
        <item x="35"/>
        <item x="17"/>
        <item x="18"/>
        <item x="52"/>
        <item x="24"/>
        <item x="25"/>
        <item x="36"/>
        <item x="42"/>
        <item x="53"/>
        <item x="54"/>
        <item x="26"/>
        <item x="27"/>
        <item x="5"/>
        <item x="37"/>
        <item x="66"/>
        <item x="38"/>
        <item x="67"/>
        <item x="77"/>
        <item x="78"/>
        <item x="68"/>
        <item x="79"/>
        <item x="2"/>
        <item x="3"/>
        <item x="28"/>
        <item x="39"/>
        <item x="15"/>
        <item x="9"/>
        <item x="40"/>
        <item x="80"/>
        <item t="default"/>
      </items>
    </pivotField>
    <pivotField showAll="0"/>
    <pivotField axis="axisCol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axis="axisPage" showAll="0">
      <items count="2">
        <item x="0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8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 t="grand">
      <x/>
    </i>
  </rowItems>
  <colFields count="1">
    <field x="4"/>
  </colFields>
  <colItems count="3">
    <i>
      <x/>
    </i>
    <i>
      <x v="1"/>
    </i>
    <i t="grand">
      <x/>
    </i>
  </colItems>
  <pageFields count="1">
    <pageField fld="11" hier="-1"/>
  </pageFields>
  <dataFields count="1">
    <dataField name="Sum of Quantity" fld="13" baseField="0" baseItem="0"/>
  </dataFields>
  <formats count="10">
    <format dxfId="440">
      <pivotArea type="all" dataOnly="0" outline="0" fieldPosition="0"/>
    </format>
    <format dxfId="439">
      <pivotArea outline="0" collapsedLevelsAreSubtotals="1" fieldPosition="0"/>
    </format>
    <format dxfId="438">
      <pivotArea field="34" type="button" dataOnly="0" labelOnly="1" outline="0"/>
    </format>
    <format dxfId="437">
      <pivotArea dataOnly="0" labelOnly="1" grandRow="1" outline="0" fieldPosition="0"/>
    </format>
    <format dxfId="436">
      <pivotArea dataOnly="0" labelOnly="1" outline="0" axis="axisValues" fieldPosition="0"/>
    </format>
    <format dxfId="435">
      <pivotArea type="all" dataOnly="0" outline="0" fieldPosition="0"/>
    </format>
    <format dxfId="434">
      <pivotArea outline="0" collapsedLevelsAreSubtotals="1" fieldPosition="0"/>
    </format>
    <format dxfId="433">
      <pivotArea field="34" type="button" dataOnly="0" labelOnly="1" outline="0"/>
    </format>
    <format dxfId="432">
      <pivotArea dataOnly="0" labelOnly="1" grandRow="1" outline="0" fieldPosition="0"/>
    </format>
    <format dxfId="43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22C891D-8192-42DA-B3DB-92915DCE3445}" name="PivotTable6" cacheId="6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compact="0" compactData="0" gridDropZones="1" multipleFieldFilters="0">
  <location ref="AC7:AJ33" firstHeaderRow="2" firstDataRow="2" firstDataCol="2" rowPageCount="1" colPageCount="1"/>
  <pivotFields count="58">
    <pivotField compact="0" outline="0" showAll="0"/>
    <pivotField compact="0" outline="0" showAll="0">
      <items count="5">
        <item x="2"/>
        <item x="0"/>
        <item x="1"/>
        <item x="3"/>
        <item t="default"/>
      </items>
    </pivotField>
    <pivotField axis="axisRow" compact="0" outline="0" showAll="0" defaultSubtotal="0">
      <items count="81">
        <item x="43"/>
        <item x="13"/>
        <item x="44"/>
        <item x="29"/>
        <item x="55"/>
        <item x="45"/>
        <item x="46"/>
        <item x="19"/>
        <item x="56"/>
        <item x="12"/>
        <item x="30"/>
        <item x="69"/>
        <item x="47"/>
        <item x="57"/>
        <item x="8"/>
        <item x="4"/>
        <item x="10"/>
        <item x="58"/>
        <item x="70"/>
        <item x="31"/>
        <item x="59"/>
        <item x="7"/>
        <item x="71"/>
        <item x="32"/>
        <item x="20"/>
        <item x="16"/>
        <item x="48"/>
        <item x="1"/>
        <item x="21"/>
        <item x="6"/>
        <item x="72"/>
        <item x="73"/>
        <item x="0"/>
        <item x="60"/>
        <item x="74"/>
        <item x="61"/>
        <item x="49"/>
        <item x="62"/>
        <item x="14"/>
        <item x="33"/>
        <item x="11"/>
        <item x="41"/>
        <item x="50"/>
        <item x="22"/>
        <item x="75"/>
        <item x="63"/>
        <item x="34"/>
        <item x="64"/>
        <item x="51"/>
        <item x="23"/>
        <item x="76"/>
        <item x="65"/>
        <item x="35"/>
        <item x="17"/>
        <item x="18"/>
        <item x="52"/>
        <item x="24"/>
        <item x="25"/>
        <item x="36"/>
        <item x="42"/>
        <item x="53"/>
        <item x="54"/>
        <item x="26"/>
        <item x="27"/>
        <item x="5"/>
        <item x="37"/>
        <item x="66"/>
        <item x="38"/>
        <item x="67"/>
        <item x="77"/>
        <item x="78"/>
        <item x="68"/>
        <item x="79"/>
        <item x="2"/>
        <item x="3"/>
        <item x="28"/>
        <item x="39"/>
        <item x="15"/>
        <item x="9"/>
        <item x="40"/>
        <item x="80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6">
        <item x="4"/>
        <item x="2"/>
        <item x="3"/>
        <item h="1" x="0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Page" compact="0" outline="0" showAll="0">
      <items count="4">
        <item x="0"/>
        <item x="1"/>
        <item x="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>
      <items count="4">
        <item x="1"/>
        <item x="0"/>
        <item x="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2">
    <field x="2"/>
    <field x="9"/>
  </rowFields>
  <rowItems count="25">
    <i>
      <x v="5"/>
      <x v="1"/>
    </i>
    <i>
      <x v="6"/>
      <x v="2"/>
    </i>
    <i>
      <x v="7"/>
      <x v="4"/>
    </i>
    <i>
      <x v="10"/>
      <x v="2"/>
    </i>
    <i>
      <x v="12"/>
      <x/>
    </i>
    <i>
      <x v="19"/>
      <x v="2"/>
    </i>
    <i>
      <x v="23"/>
      <x v="2"/>
    </i>
    <i>
      <x v="24"/>
      <x v="4"/>
    </i>
    <i>
      <x v="25"/>
      <x v="4"/>
    </i>
    <i>
      <x v="26"/>
      <x/>
    </i>
    <i>
      <x v="28"/>
      <x v="1"/>
    </i>
    <i>
      <x v="36"/>
      <x/>
    </i>
    <i>
      <x v="39"/>
      <x v="2"/>
    </i>
    <i>
      <x v="42"/>
      <x/>
    </i>
    <i>
      <x v="43"/>
      <x v="1"/>
    </i>
    <i>
      <x v="46"/>
      <x v="2"/>
    </i>
    <i>
      <x v="48"/>
      <x/>
    </i>
    <i>
      <x v="49"/>
      <x v="1"/>
    </i>
    <i>
      <x v="52"/>
      <x/>
    </i>
    <i>
      <x v="53"/>
      <x v="4"/>
    </i>
    <i>
      <x v="54"/>
      <x v="4"/>
    </i>
    <i>
      <x v="55"/>
      <x/>
    </i>
    <i>
      <x v="58"/>
      <x/>
    </i>
    <i>
      <x v="65"/>
      <x/>
    </i>
    <i t="grand">
      <x/>
    </i>
  </rowItems>
  <colItems count="1">
    <i/>
  </colItems>
  <pageFields count="1">
    <pageField fld="17" hier="-1"/>
  </pageFields>
  <formats count="16">
    <format dxfId="456">
      <pivotArea type="all" dataOnly="0" outline="0" fieldPosition="0"/>
    </format>
    <format dxfId="455">
      <pivotArea outline="0" collapsedLevelsAreSubtotals="1" fieldPosition="0"/>
    </format>
    <format dxfId="454">
      <pivotArea type="origin" dataOnly="0" labelOnly="1" outline="0" fieldPosition="0"/>
    </format>
    <format dxfId="453">
      <pivotArea field="32" type="button" dataOnly="0" labelOnly="1" outline="0"/>
    </format>
    <format dxfId="452">
      <pivotArea type="topRight" dataOnly="0" labelOnly="1" outline="0" fieldPosition="0"/>
    </format>
    <format dxfId="451">
      <pivotArea field="1" type="button" dataOnly="0" labelOnly="1" outline="0"/>
    </format>
    <format dxfId="450">
      <pivotArea dataOnly="0" labelOnly="1" grandRow="1" outline="0" fieldPosition="0"/>
    </format>
    <format dxfId="449">
      <pivotArea dataOnly="0" labelOnly="1" grandCol="1" outline="0" fieldPosition="0"/>
    </format>
    <format dxfId="448">
      <pivotArea type="all" dataOnly="0" outline="0" fieldPosition="0"/>
    </format>
    <format dxfId="447">
      <pivotArea outline="0" collapsedLevelsAreSubtotals="1" fieldPosition="0"/>
    </format>
    <format dxfId="446">
      <pivotArea type="origin" dataOnly="0" labelOnly="1" outline="0" fieldPosition="0"/>
    </format>
    <format dxfId="445">
      <pivotArea field="32" type="button" dataOnly="0" labelOnly="1" outline="0"/>
    </format>
    <format dxfId="444">
      <pivotArea type="topRight" dataOnly="0" labelOnly="1" outline="0" fieldPosition="0"/>
    </format>
    <format dxfId="443">
      <pivotArea field="1" type="button" dataOnly="0" labelOnly="1" outline="0"/>
    </format>
    <format dxfId="442">
      <pivotArea dataOnly="0" labelOnly="1" grandRow="1" outline="0" fieldPosition="0"/>
    </format>
    <format dxfId="441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F1D4AE3-F6B5-44DD-84BC-32DFF288713A}" name="PivotTable5" cacheId="6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L3:M85" firstHeaderRow="1" firstDataRow="1" firstDataCol="1" rowPageCount="1" colPageCount="1"/>
  <pivotFields count="58">
    <pivotField showAll="0"/>
    <pivotField showAll="0"/>
    <pivotField axis="axisRow" showAll="0">
      <items count="82">
        <item x="43"/>
        <item x="13"/>
        <item x="44"/>
        <item x="29"/>
        <item x="55"/>
        <item x="45"/>
        <item x="46"/>
        <item x="19"/>
        <item x="56"/>
        <item x="12"/>
        <item x="30"/>
        <item x="69"/>
        <item x="47"/>
        <item x="57"/>
        <item x="8"/>
        <item x="4"/>
        <item x="10"/>
        <item x="58"/>
        <item x="70"/>
        <item x="31"/>
        <item x="59"/>
        <item x="7"/>
        <item x="71"/>
        <item x="32"/>
        <item x="20"/>
        <item x="16"/>
        <item x="48"/>
        <item x="1"/>
        <item x="21"/>
        <item x="6"/>
        <item x="72"/>
        <item x="73"/>
        <item x="0"/>
        <item x="60"/>
        <item x="74"/>
        <item x="61"/>
        <item x="49"/>
        <item x="62"/>
        <item x="14"/>
        <item x="33"/>
        <item x="11"/>
        <item x="41"/>
        <item x="50"/>
        <item x="22"/>
        <item x="75"/>
        <item x="63"/>
        <item x="34"/>
        <item x="64"/>
        <item x="51"/>
        <item x="23"/>
        <item x="76"/>
        <item x="65"/>
        <item x="35"/>
        <item x="17"/>
        <item x="18"/>
        <item x="52"/>
        <item x="24"/>
        <item x="25"/>
        <item x="36"/>
        <item x="42"/>
        <item x="53"/>
        <item x="54"/>
        <item x="26"/>
        <item x="27"/>
        <item x="5"/>
        <item x="37"/>
        <item x="66"/>
        <item x="38"/>
        <item x="67"/>
        <item x="77"/>
        <item x="78"/>
        <item x="68"/>
        <item x="79"/>
        <item x="2"/>
        <item x="3"/>
        <item x="28"/>
        <item x="39"/>
        <item x="15"/>
        <item x="9"/>
        <item x="40"/>
        <item x="8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Page" showAll="0">
      <items count="3">
        <item x="1"/>
        <item x="0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8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 t="grand">
      <x/>
    </i>
  </rowItems>
  <colItems count="1">
    <i/>
  </colItems>
  <pageFields count="1">
    <pageField fld="10" hier="-1"/>
  </pageFields>
  <dataFields count="1">
    <dataField name="Sum of Quantity" fld="12" baseField="0" baseItem="0"/>
  </dataFields>
  <formats count="10">
    <format dxfId="466">
      <pivotArea type="all" dataOnly="0" outline="0" fieldPosition="0"/>
    </format>
    <format dxfId="465">
      <pivotArea outline="0" collapsedLevelsAreSubtotals="1" fieldPosition="0"/>
    </format>
    <format dxfId="464">
      <pivotArea field="32" type="button" dataOnly="0" labelOnly="1" outline="0"/>
    </format>
    <format dxfId="463">
      <pivotArea dataOnly="0" labelOnly="1" grandRow="1" outline="0" fieldPosition="0"/>
    </format>
    <format dxfId="462">
      <pivotArea dataOnly="0" labelOnly="1" outline="0" axis="axisValues" fieldPosition="0"/>
    </format>
    <format dxfId="461">
      <pivotArea type="all" dataOnly="0" outline="0" fieldPosition="0"/>
    </format>
    <format dxfId="460">
      <pivotArea outline="0" collapsedLevelsAreSubtotals="1" fieldPosition="0"/>
    </format>
    <format dxfId="459">
      <pivotArea field="32" type="button" dataOnly="0" labelOnly="1" outline="0"/>
    </format>
    <format dxfId="458">
      <pivotArea dataOnly="0" labelOnly="1" grandRow="1" outline="0" fieldPosition="0"/>
    </format>
    <format dxfId="457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E2B0E58-8B20-4AB0-975C-49E8AB6BD57F}" name="PivotTable4" cacheId="7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4:F10" firstHeaderRow="1" firstDataRow="2" firstDataCol="1" rowPageCount="1" colPageCount="1"/>
  <pivotFields count="67">
    <pivotField showAll="0"/>
    <pivotField axis="axisRow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axis="axisCol" showAll="0">
      <items count="5">
        <item x="2"/>
        <item x="3"/>
        <item x="1"/>
        <item x="0"/>
        <item t="default"/>
      </items>
    </pivotField>
    <pivotField showAll="0"/>
    <pivotField showAll="0"/>
    <pivotField showAll="0"/>
    <pivotField showAll="0"/>
    <pivotField showAll="0"/>
    <pivotField axis="axisPage" showAll="0">
      <items count="2">
        <item x="0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5"/>
  </colFields>
  <colItems count="5">
    <i>
      <x/>
    </i>
    <i>
      <x v="1"/>
    </i>
    <i>
      <x v="2"/>
    </i>
    <i>
      <x v="3"/>
    </i>
    <i t="grand">
      <x/>
    </i>
  </colItems>
  <pageFields count="1">
    <pageField fld="11" hier="-1"/>
  </pageFields>
  <dataFields count="1">
    <dataField name="Sum of Quantity" fld="13" baseField="0" baseItem="0"/>
  </dataFields>
  <formats count="18">
    <format dxfId="398">
      <pivotArea type="all" dataOnly="0" outline="0" fieldPosition="0"/>
    </format>
    <format dxfId="397">
      <pivotArea outline="0" collapsedLevelsAreSubtotals="1" fieldPosition="0"/>
    </format>
    <format dxfId="396">
      <pivotArea type="origin" dataOnly="0" labelOnly="1" outline="0" fieldPosition="0"/>
    </format>
    <format dxfId="395">
      <pivotArea field="11" type="button" dataOnly="0" labelOnly="1" outline="0" axis="axisPage" fieldPosition="0"/>
    </format>
    <format dxfId="394">
      <pivotArea type="topRight" dataOnly="0" labelOnly="1" outline="0" fieldPosition="0"/>
    </format>
    <format dxfId="393">
      <pivotArea field="1" type="button" dataOnly="0" labelOnly="1" outline="0" axis="axisRow" fieldPosition="0"/>
    </format>
    <format dxfId="392">
      <pivotArea dataOnly="0" labelOnly="1" fieldPosition="0">
        <references count="1">
          <reference field="1" count="0"/>
        </references>
      </pivotArea>
    </format>
    <format dxfId="391">
      <pivotArea dataOnly="0" labelOnly="1" grandRow="1" outline="0" fieldPosition="0"/>
    </format>
    <format dxfId="390">
      <pivotArea dataOnly="0" labelOnly="1" grandCol="1" outline="0" fieldPosition="0"/>
    </format>
    <format dxfId="389">
      <pivotArea type="all" dataOnly="0" outline="0" fieldPosition="0"/>
    </format>
    <format dxfId="388">
      <pivotArea outline="0" collapsedLevelsAreSubtotals="1" fieldPosition="0"/>
    </format>
    <format dxfId="387">
      <pivotArea type="origin" dataOnly="0" labelOnly="1" outline="0" fieldPosition="0"/>
    </format>
    <format dxfId="386">
      <pivotArea field="11" type="button" dataOnly="0" labelOnly="1" outline="0" axis="axisPage" fieldPosition="0"/>
    </format>
    <format dxfId="385">
      <pivotArea type="topRight" dataOnly="0" labelOnly="1" outline="0" fieldPosition="0"/>
    </format>
    <format dxfId="384">
      <pivotArea field="1" type="button" dataOnly="0" labelOnly="1" outline="0" axis="axisRow" fieldPosition="0"/>
    </format>
    <format dxfId="383">
      <pivotArea dataOnly="0" labelOnly="1" fieldPosition="0">
        <references count="1">
          <reference field="1" count="0"/>
        </references>
      </pivotArea>
    </format>
    <format dxfId="382">
      <pivotArea dataOnly="0" labelOnly="1" grandRow="1" outline="0" fieldPosition="0"/>
    </format>
    <format dxfId="381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B6B2010-145F-4F1E-B359-DEE12B97FCD0}" name="PivotTable2" cacheId="6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19:F25" firstHeaderRow="1" firstDataRow="2" firstDataCol="1" rowPageCount="1" colPageCount="1"/>
  <pivotFields count="58">
    <pivotField showAll="0"/>
    <pivotField axis="axisRow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axis="axisCol" showAll="0">
      <items count="5">
        <item x="2"/>
        <item x="3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4">
        <item x="1"/>
        <item x="0"/>
        <item x="2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5"/>
  </colFields>
  <colItems count="5">
    <i>
      <x/>
    </i>
    <i>
      <x v="1"/>
    </i>
    <i>
      <x v="2"/>
    </i>
    <i>
      <x v="3"/>
    </i>
    <i t="grand">
      <x/>
    </i>
  </colItems>
  <pageFields count="1">
    <pageField fld="32" hier="-1"/>
  </pageFields>
  <dataFields count="1">
    <dataField name="Sum of Quantity8" fld="33" baseField="1" baseItem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46810E5-2CD9-48CD-9A94-6487BE57437C}" name="PivotTable5" cacheId="7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13:D19" firstHeaderRow="1" firstDataRow="2" firstDataCol="1"/>
  <pivotFields count="67">
    <pivotField showAll="0"/>
    <pivotField axis="axisRow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axis="axisCol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19"/>
  </colFields>
  <colItems count="3">
    <i>
      <x/>
    </i>
    <i>
      <x v="1"/>
    </i>
    <i t="grand">
      <x/>
    </i>
  </colItems>
  <dataFields count="1">
    <dataField name="Sum of Quantity" fld="13" baseField="0" baseItem="0"/>
  </dataFields>
  <formats count="20">
    <format dxfId="322">
      <pivotArea type="all" dataOnly="0" outline="0" fieldPosition="0"/>
    </format>
    <format dxfId="321">
      <pivotArea outline="0" collapsedLevelsAreSubtotals="1" fieldPosition="0"/>
    </format>
    <format dxfId="320">
      <pivotArea type="origin" dataOnly="0" labelOnly="1" outline="0" fieldPosition="0"/>
    </format>
    <format dxfId="319">
      <pivotArea field="19" type="button" dataOnly="0" labelOnly="1" outline="0" axis="axisCol" fieldPosition="0"/>
    </format>
    <format dxfId="318">
      <pivotArea type="topRight" dataOnly="0" labelOnly="1" outline="0" fieldPosition="0"/>
    </format>
    <format dxfId="317">
      <pivotArea field="1" type="button" dataOnly="0" labelOnly="1" outline="0" axis="axisRow" fieldPosition="0"/>
    </format>
    <format dxfId="316">
      <pivotArea dataOnly="0" labelOnly="1" fieldPosition="0">
        <references count="1">
          <reference field="1" count="0"/>
        </references>
      </pivotArea>
    </format>
    <format dxfId="315">
      <pivotArea dataOnly="0" labelOnly="1" grandRow="1" outline="0" fieldPosition="0"/>
    </format>
    <format dxfId="314">
      <pivotArea dataOnly="0" labelOnly="1" fieldPosition="0">
        <references count="1">
          <reference field="19" count="0"/>
        </references>
      </pivotArea>
    </format>
    <format dxfId="313">
      <pivotArea dataOnly="0" labelOnly="1" grandCol="1" outline="0" fieldPosition="0"/>
    </format>
    <format dxfId="312">
      <pivotArea type="all" dataOnly="0" outline="0" fieldPosition="0"/>
    </format>
    <format dxfId="311">
      <pivotArea outline="0" collapsedLevelsAreSubtotals="1" fieldPosition="0"/>
    </format>
    <format dxfId="310">
      <pivotArea type="origin" dataOnly="0" labelOnly="1" outline="0" fieldPosition="0"/>
    </format>
    <format dxfId="309">
      <pivotArea field="19" type="button" dataOnly="0" labelOnly="1" outline="0" axis="axisCol" fieldPosition="0"/>
    </format>
    <format dxfId="308">
      <pivotArea type="topRight" dataOnly="0" labelOnly="1" outline="0" fieldPosition="0"/>
    </format>
    <format dxfId="307">
      <pivotArea field="1" type="button" dataOnly="0" labelOnly="1" outline="0" axis="axisRow" fieldPosition="0"/>
    </format>
    <format dxfId="306">
      <pivotArea dataOnly="0" labelOnly="1" fieldPosition="0">
        <references count="1">
          <reference field="1" count="0"/>
        </references>
      </pivotArea>
    </format>
    <format dxfId="305">
      <pivotArea dataOnly="0" labelOnly="1" grandRow="1" outline="0" fieldPosition="0"/>
    </format>
    <format dxfId="304">
      <pivotArea dataOnly="0" labelOnly="1" fieldPosition="0">
        <references count="1">
          <reference field="19" count="0"/>
        </references>
      </pivotArea>
    </format>
    <format dxfId="303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013D4DA-44E4-4FB5-B5E4-8B2F890025AC}" name="PivotTable4" cacheId="7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4:B9" firstHeaderRow="1" firstDataRow="1" firstDataCol="1" rowPageCount="1" colPageCount="1"/>
  <pivotFields count="67">
    <pivotField showAll="0"/>
    <pivotField axis="axisRow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pageFields count="1">
    <pageField fld="40" hier="-1"/>
  </pageFields>
  <dataFields count="1">
    <dataField name="Sum of Quantity10" fld="41" baseField="1" baseItem="0"/>
  </dataFields>
  <formats count="18">
    <format dxfId="340">
      <pivotArea type="all" dataOnly="0" outline="0" fieldPosition="0"/>
    </format>
    <format dxfId="339">
      <pivotArea outline="0" collapsedLevelsAreSubtotals="1" fieldPosition="0"/>
    </format>
    <format dxfId="338">
      <pivotArea type="origin" dataOnly="0" labelOnly="1" outline="0" fieldPosition="0"/>
    </format>
    <format dxfId="337">
      <pivotArea field="11" type="button" dataOnly="0" labelOnly="1" outline="0"/>
    </format>
    <format dxfId="336">
      <pivotArea type="topRight" dataOnly="0" labelOnly="1" outline="0" fieldPosition="0"/>
    </format>
    <format dxfId="335">
      <pivotArea field="1" type="button" dataOnly="0" labelOnly="1" outline="0" axis="axisRow" fieldPosition="0"/>
    </format>
    <format dxfId="334">
      <pivotArea dataOnly="0" labelOnly="1" fieldPosition="0">
        <references count="1">
          <reference field="1" count="0"/>
        </references>
      </pivotArea>
    </format>
    <format dxfId="333">
      <pivotArea dataOnly="0" labelOnly="1" grandRow="1" outline="0" fieldPosition="0"/>
    </format>
    <format dxfId="332">
      <pivotArea dataOnly="0" labelOnly="1" grandCol="1" outline="0" fieldPosition="0"/>
    </format>
    <format dxfId="331">
      <pivotArea type="all" dataOnly="0" outline="0" fieldPosition="0"/>
    </format>
    <format dxfId="330">
      <pivotArea outline="0" collapsedLevelsAreSubtotals="1" fieldPosition="0"/>
    </format>
    <format dxfId="329">
      <pivotArea type="origin" dataOnly="0" labelOnly="1" outline="0" fieldPosition="0"/>
    </format>
    <format dxfId="328">
      <pivotArea field="11" type="button" dataOnly="0" labelOnly="1" outline="0"/>
    </format>
    <format dxfId="327">
      <pivotArea type="topRight" dataOnly="0" labelOnly="1" outline="0" fieldPosition="0"/>
    </format>
    <format dxfId="326">
      <pivotArea field="1" type="button" dataOnly="0" labelOnly="1" outline="0" axis="axisRow" fieldPosition="0"/>
    </format>
    <format dxfId="325">
      <pivotArea dataOnly="0" labelOnly="1" fieldPosition="0">
        <references count="1">
          <reference field="1" count="0"/>
        </references>
      </pivotArea>
    </format>
    <format dxfId="324">
      <pivotArea dataOnly="0" labelOnly="1" grandRow="1" outline="0" fieldPosition="0"/>
    </format>
    <format dxfId="323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DD6248A-5FB5-4018-A114-9EA9FFBE3B51}" name="PivotTable7" cacheId="7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3:D39" firstHeaderRow="1" firstDataRow="2" firstDataCol="1"/>
  <pivotFields count="67">
    <pivotField showAll="0"/>
    <pivotField axis="axisRow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34"/>
  </colFields>
  <colItems count="3">
    <i>
      <x/>
    </i>
    <i>
      <x v="1"/>
    </i>
    <i t="grand">
      <x/>
    </i>
  </colItems>
  <dataFields count="1">
    <dataField name="Sum of Quantity" fld="13" baseField="0" baseItem="0"/>
  </dataFields>
  <formats count="20">
    <format dxfId="360">
      <pivotArea type="all" dataOnly="0" outline="0" fieldPosition="0"/>
    </format>
    <format dxfId="359">
      <pivotArea outline="0" collapsedLevelsAreSubtotals="1" fieldPosition="0"/>
    </format>
    <format dxfId="358">
      <pivotArea type="origin" dataOnly="0" labelOnly="1" outline="0" fieldPosition="0"/>
    </format>
    <format dxfId="357">
      <pivotArea field="34" type="button" dataOnly="0" labelOnly="1" outline="0" axis="axisCol" fieldPosition="0"/>
    </format>
    <format dxfId="356">
      <pivotArea type="topRight" dataOnly="0" labelOnly="1" outline="0" fieldPosition="0"/>
    </format>
    <format dxfId="355">
      <pivotArea field="1" type="button" dataOnly="0" labelOnly="1" outline="0" axis="axisRow" fieldPosition="0"/>
    </format>
    <format dxfId="354">
      <pivotArea dataOnly="0" labelOnly="1" fieldPosition="0">
        <references count="1">
          <reference field="1" count="0"/>
        </references>
      </pivotArea>
    </format>
    <format dxfId="353">
      <pivotArea dataOnly="0" labelOnly="1" grandRow="1" outline="0" fieldPosition="0"/>
    </format>
    <format dxfId="352">
      <pivotArea dataOnly="0" labelOnly="1" fieldPosition="0">
        <references count="1">
          <reference field="34" count="0"/>
        </references>
      </pivotArea>
    </format>
    <format dxfId="351">
      <pivotArea dataOnly="0" labelOnly="1" grandCol="1" outline="0" fieldPosition="0"/>
    </format>
    <format dxfId="350">
      <pivotArea type="all" dataOnly="0" outline="0" fieldPosition="0"/>
    </format>
    <format dxfId="349">
      <pivotArea outline="0" collapsedLevelsAreSubtotals="1" fieldPosition="0"/>
    </format>
    <format dxfId="348">
      <pivotArea type="origin" dataOnly="0" labelOnly="1" outline="0" fieldPosition="0"/>
    </format>
    <format dxfId="347">
      <pivotArea field="34" type="button" dataOnly="0" labelOnly="1" outline="0" axis="axisCol" fieldPosition="0"/>
    </format>
    <format dxfId="346">
      <pivotArea type="topRight" dataOnly="0" labelOnly="1" outline="0" fieldPosition="0"/>
    </format>
    <format dxfId="345">
      <pivotArea field="1" type="button" dataOnly="0" labelOnly="1" outline="0" axis="axisRow" fieldPosition="0"/>
    </format>
    <format dxfId="344">
      <pivotArea dataOnly="0" labelOnly="1" fieldPosition="0">
        <references count="1">
          <reference field="1" count="0"/>
        </references>
      </pivotArea>
    </format>
    <format dxfId="343">
      <pivotArea dataOnly="0" labelOnly="1" grandRow="1" outline="0" fieldPosition="0"/>
    </format>
    <format dxfId="342">
      <pivotArea dataOnly="0" labelOnly="1" fieldPosition="0">
        <references count="1">
          <reference field="34" count="0"/>
        </references>
      </pivotArea>
    </format>
    <format dxfId="341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56289FA-C00E-4122-872B-C3494A4076FA}" name="PivotTable6" cacheId="7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23:D29" firstHeaderRow="1" firstDataRow="2" firstDataCol="1"/>
  <pivotFields count="67">
    <pivotField showAll="0"/>
    <pivotField axis="axisRow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22"/>
  </colFields>
  <colItems count="3">
    <i>
      <x/>
    </i>
    <i>
      <x v="1"/>
    </i>
    <i t="grand">
      <x/>
    </i>
  </colItems>
  <dataFields count="1">
    <dataField name="Sum of Quantity" fld="13" baseField="0" baseItem="0"/>
  </dataFields>
  <formats count="20">
    <format dxfId="380">
      <pivotArea type="all" dataOnly="0" outline="0" fieldPosition="0"/>
    </format>
    <format dxfId="379">
      <pivotArea outline="0" collapsedLevelsAreSubtotals="1" fieldPosition="0"/>
    </format>
    <format dxfId="378">
      <pivotArea type="origin" dataOnly="0" labelOnly="1" outline="0" fieldPosition="0"/>
    </format>
    <format dxfId="377">
      <pivotArea field="22" type="button" dataOnly="0" labelOnly="1" outline="0" axis="axisCol" fieldPosition="0"/>
    </format>
    <format dxfId="376">
      <pivotArea type="topRight" dataOnly="0" labelOnly="1" outline="0" fieldPosition="0"/>
    </format>
    <format dxfId="375">
      <pivotArea field="1" type="button" dataOnly="0" labelOnly="1" outline="0" axis="axisRow" fieldPosition="0"/>
    </format>
    <format dxfId="374">
      <pivotArea dataOnly="0" labelOnly="1" fieldPosition="0">
        <references count="1">
          <reference field="1" count="0"/>
        </references>
      </pivotArea>
    </format>
    <format dxfId="373">
      <pivotArea dataOnly="0" labelOnly="1" grandRow="1" outline="0" fieldPosition="0"/>
    </format>
    <format dxfId="372">
      <pivotArea dataOnly="0" labelOnly="1" fieldPosition="0">
        <references count="1">
          <reference field="22" count="0"/>
        </references>
      </pivotArea>
    </format>
    <format dxfId="371">
      <pivotArea dataOnly="0" labelOnly="1" grandCol="1" outline="0" fieldPosition="0"/>
    </format>
    <format dxfId="370">
      <pivotArea type="all" dataOnly="0" outline="0" fieldPosition="0"/>
    </format>
    <format dxfId="369">
      <pivotArea outline="0" collapsedLevelsAreSubtotals="1" fieldPosition="0"/>
    </format>
    <format dxfId="368">
      <pivotArea type="origin" dataOnly="0" labelOnly="1" outline="0" fieldPosition="0"/>
    </format>
    <format dxfId="367">
      <pivotArea field="22" type="button" dataOnly="0" labelOnly="1" outline="0" axis="axisCol" fieldPosition="0"/>
    </format>
    <format dxfId="366">
      <pivotArea type="topRight" dataOnly="0" labelOnly="1" outline="0" fieldPosition="0"/>
    </format>
    <format dxfId="365">
      <pivotArea field="1" type="button" dataOnly="0" labelOnly="1" outline="0" axis="axisRow" fieldPosition="0"/>
    </format>
    <format dxfId="364">
      <pivotArea dataOnly="0" labelOnly="1" fieldPosition="0">
        <references count="1">
          <reference field="1" count="0"/>
        </references>
      </pivotArea>
    </format>
    <format dxfId="363">
      <pivotArea dataOnly="0" labelOnly="1" grandRow="1" outline="0" fieldPosition="0"/>
    </format>
    <format dxfId="362">
      <pivotArea dataOnly="0" labelOnly="1" fieldPosition="0">
        <references count="1">
          <reference field="22" count="0"/>
        </references>
      </pivotArea>
    </format>
    <format dxfId="361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4B26BF4-29C2-4CA8-B77D-4E9C6C7AC0E3}" name="PivotTable7" cacheId="6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rowHeaderCaption="CSP Name">
  <location ref="A23:E29" firstHeaderRow="1" firstDataRow="2" firstDataCol="1"/>
  <pivotFields count="58">
    <pivotField showAll="0"/>
    <pivotField axis="axisRow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4">
        <item x="0"/>
        <item x="1"/>
        <item x="2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20"/>
  </colFields>
  <colItems count="4">
    <i>
      <x/>
    </i>
    <i>
      <x v="1"/>
    </i>
    <i>
      <x v="2"/>
    </i>
    <i t="grand">
      <x/>
    </i>
  </colItems>
  <dataFields count="1">
    <dataField name="Brinjal sold by CSP" fld="21" subtotal="count" baseField="0" baseItem="0"/>
  </dataFields>
  <formats count="27">
    <format dxfId="128">
      <pivotArea type="all" dataOnly="0" outline="0" fieldPosition="0"/>
    </format>
    <format dxfId="127">
      <pivotArea outline="0" collapsedLevelsAreSubtotals="1" fieldPosition="0"/>
    </format>
    <format dxfId="126">
      <pivotArea type="origin" dataOnly="0" labelOnly="1" outline="0" fieldPosition="0"/>
    </format>
    <format dxfId="125">
      <pivotArea field="10" type="button" dataOnly="0" labelOnly="1" outline="0"/>
    </format>
    <format dxfId="124">
      <pivotArea type="topRight" dataOnly="0" labelOnly="1" outline="0" fieldPosition="0"/>
    </format>
    <format dxfId="123">
      <pivotArea field="1" type="button" dataOnly="0" labelOnly="1" outline="0" axis="axisRow" fieldPosition="0"/>
    </format>
    <format dxfId="122">
      <pivotArea dataOnly="0" labelOnly="1" fieldPosition="0">
        <references count="1">
          <reference field="1" count="0"/>
        </references>
      </pivotArea>
    </format>
    <format dxfId="121">
      <pivotArea dataOnly="0" labelOnly="1" grandRow="1" outline="0" fieldPosition="0"/>
    </format>
    <format dxfId="120">
      <pivotArea dataOnly="0" labelOnly="1" grandCol="1" outline="0" fieldPosition="0"/>
    </format>
    <format dxfId="119">
      <pivotArea type="all" dataOnly="0" outline="0" fieldPosition="0"/>
    </format>
    <format dxfId="118">
      <pivotArea outline="0" collapsedLevelsAreSubtotals="1" fieldPosition="0"/>
    </format>
    <format dxfId="117">
      <pivotArea type="origin" dataOnly="0" labelOnly="1" outline="0" fieldPosition="0"/>
    </format>
    <format dxfId="116">
      <pivotArea field="10" type="button" dataOnly="0" labelOnly="1" outline="0"/>
    </format>
    <format dxfId="115">
      <pivotArea type="topRight" dataOnly="0" labelOnly="1" outline="0" fieldPosition="0"/>
    </format>
    <format dxfId="114">
      <pivotArea field="1" type="button" dataOnly="0" labelOnly="1" outline="0" axis="axisRow" fieldPosition="0"/>
    </format>
    <format dxfId="113">
      <pivotArea dataOnly="0" labelOnly="1" fieldPosition="0">
        <references count="1">
          <reference field="1" count="0"/>
        </references>
      </pivotArea>
    </format>
    <format dxfId="112">
      <pivotArea dataOnly="0" labelOnly="1" grandRow="1" outline="0" fieldPosition="0"/>
    </format>
    <format dxfId="111">
      <pivotArea dataOnly="0" labelOnly="1" grandCol="1" outline="0" fieldPosition="0"/>
    </format>
    <format dxfId="110">
      <pivotArea type="all" dataOnly="0" outline="0" fieldPosition="0"/>
    </format>
    <format dxfId="109">
      <pivotArea outline="0" collapsedLevelsAreSubtotals="1" fieldPosition="0"/>
    </format>
    <format dxfId="108">
      <pivotArea type="origin" dataOnly="0" labelOnly="1" outline="0" fieldPosition="0"/>
    </format>
    <format dxfId="107">
      <pivotArea field="10" type="button" dataOnly="0" labelOnly="1" outline="0"/>
    </format>
    <format dxfId="106">
      <pivotArea type="topRight" dataOnly="0" labelOnly="1" outline="0" fieldPosition="0"/>
    </format>
    <format dxfId="105">
      <pivotArea field="1" type="button" dataOnly="0" labelOnly="1" outline="0" axis="axisRow" fieldPosition="0"/>
    </format>
    <format dxfId="104">
      <pivotArea dataOnly="0" labelOnly="1" fieldPosition="0">
        <references count="1">
          <reference field="1" count="0"/>
        </references>
      </pivotArea>
    </format>
    <format dxfId="103">
      <pivotArea dataOnly="0" labelOnly="1" grandRow="1" outline="0" fieldPosition="0"/>
    </format>
    <format dxfId="102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71F68E-42FD-42F4-B667-5B5AB06EB479}" name="PivotTable2" cacheId="6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rowHeaderCaption="CSP Name">
  <location ref="G15:J21" firstHeaderRow="1" firstDataRow="2" firstDataCol="1"/>
  <pivotFields count="58">
    <pivotField showAll="0"/>
    <pivotField axis="axisRow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3">
        <item x="1"/>
        <item x="0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10"/>
  </colFields>
  <colItems count="3">
    <i>
      <x/>
    </i>
    <i>
      <x v="1"/>
    </i>
    <i t="grand">
      <x/>
    </i>
  </colItems>
  <dataFields count="1">
    <dataField name="Paddy sold by CSP" fld="12" baseField="0" baseItem="0"/>
  </dataFields>
  <formats count="30">
    <format dxfId="158">
      <pivotArea type="all" dataOnly="0" outline="0" fieldPosition="0"/>
    </format>
    <format dxfId="157">
      <pivotArea outline="0" collapsedLevelsAreSubtotals="1" fieldPosition="0"/>
    </format>
    <format dxfId="156">
      <pivotArea type="origin" dataOnly="0" labelOnly="1" outline="0" fieldPosition="0"/>
    </format>
    <format dxfId="155">
      <pivotArea field="10" type="button" dataOnly="0" labelOnly="1" outline="0" axis="axisCol" fieldPosition="0"/>
    </format>
    <format dxfId="154">
      <pivotArea type="topRight" dataOnly="0" labelOnly="1" outline="0" fieldPosition="0"/>
    </format>
    <format dxfId="153">
      <pivotArea field="1" type="button" dataOnly="0" labelOnly="1" outline="0" axis="axisRow" fieldPosition="0"/>
    </format>
    <format dxfId="152">
      <pivotArea dataOnly="0" labelOnly="1" fieldPosition="0">
        <references count="1">
          <reference field="1" count="0"/>
        </references>
      </pivotArea>
    </format>
    <format dxfId="151">
      <pivotArea dataOnly="0" labelOnly="1" grandRow="1" outline="0" fieldPosition="0"/>
    </format>
    <format dxfId="150">
      <pivotArea dataOnly="0" labelOnly="1" fieldPosition="0">
        <references count="1">
          <reference field="10" count="0"/>
        </references>
      </pivotArea>
    </format>
    <format dxfId="149">
      <pivotArea dataOnly="0" labelOnly="1" grandCol="1" outline="0" fieldPosition="0"/>
    </format>
    <format dxfId="148">
      <pivotArea type="all" dataOnly="0" outline="0" fieldPosition="0"/>
    </format>
    <format dxfId="147">
      <pivotArea outline="0" collapsedLevelsAreSubtotals="1" fieldPosition="0"/>
    </format>
    <format dxfId="146">
      <pivotArea type="origin" dataOnly="0" labelOnly="1" outline="0" fieldPosition="0"/>
    </format>
    <format dxfId="145">
      <pivotArea field="10" type="button" dataOnly="0" labelOnly="1" outline="0" axis="axisCol" fieldPosition="0"/>
    </format>
    <format dxfId="144">
      <pivotArea type="topRight" dataOnly="0" labelOnly="1" outline="0" fieldPosition="0"/>
    </format>
    <format dxfId="143">
      <pivotArea field="1" type="button" dataOnly="0" labelOnly="1" outline="0" axis="axisRow" fieldPosition="0"/>
    </format>
    <format dxfId="142">
      <pivotArea dataOnly="0" labelOnly="1" fieldPosition="0">
        <references count="1">
          <reference field="1" count="0"/>
        </references>
      </pivotArea>
    </format>
    <format dxfId="141">
      <pivotArea dataOnly="0" labelOnly="1" grandRow="1" outline="0" fieldPosition="0"/>
    </format>
    <format dxfId="140">
      <pivotArea dataOnly="0" labelOnly="1" fieldPosition="0">
        <references count="1">
          <reference field="10" count="0"/>
        </references>
      </pivotArea>
    </format>
    <format dxfId="139">
      <pivotArea dataOnly="0" labelOnly="1" grandCol="1" outline="0" fieldPosition="0"/>
    </format>
    <format dxfId="138">
      <pivotArea type="all" dataOnly="0" outline="0" fieldPosition="0"/>
    </format>
    <format dxfId="137">
      <pivotArea outline="0" collapsedLevelsAreSubtotals="1" fieldPosition="0"/>
    </format>
    <format dxfId="136">
      <pivotArea type="origin" dataOnly="0" labelOnly="1" outline="0" fieldPosition="0"/>
    </format>
    <format dxfId="135">
      <pivotArea field="10" type="button" dataOnly="0" labelOnly="1" outline="0" axis="axisCol" fieldPosition="0"/>
    </format>
    <format dxfId="134">
      <pivotArea type="topRight" dataOnly="0" labelOnly="1" outline="0" fieldPosition="0"/>
    </format>
    <format dxfId="133">
      <pivotArea field="1" type="button" dataOnly="0" labelOnly="1" outline="0" axis="axisRow" fieldPosition="0"/>
    </format>
    <format dxfId="132">
      <pivotArea dataOnly="0" labelOnly="1" fieldPosition="0">
        <references count="1">
          <reference field="1" count="0"/>
        </references>
      </pivotArea>
    </format>
    <format dxfId="131">
      <pivotArea dataOnly="0" labelOnly="1" grandRow="1" outline="0" fieldPosition="0"/>
    </format>
    <format dxfId="130">
      <pivotArea dataOnly="0" labelOnly="1" fieldPosition="0">
        <references count="1">
          <reference field="10" count="0"/>
        </references>
      </pivotArea>
    </format>
    <format dxfId="129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9FA6DE-2162-4C6F-BA3A-F88DFD80D4B8}" name="PivotTable10" cacheId="6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rowHeaderCaption="CSP Name">
  <location ref="M15:P21" firstHeaderRow="1" firstDataRow="2" firstDataCol="1"/>
  <pivotFields count="58">
    <pivotField showAll="0"/>
    <pivotField axis="axisRow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3">
        <item x="0"/>
        <item x="1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23"/>
  </colFields>
  <colItems count="3">
    <i>
      <x/>
    </i>
    <i>
      <x v="1"/>
    </i>
    <i t="grand">
      <x/>
    </i>
  </colItems>
  <dataFields count="1">
    <dataField name="Count of Quantity5" fld="24" subtotal="count" baseField="0" baseItem="0"/>
  </dataFields>
  <formats count="27">
    <format dxfId="185">
      <pivotArea type="all" dataOnly="0" outline="0" fieldPosition="0"/>
    </format>
    <format dxfId="184">
      <pivotArea outline="0" collapsedLevelsAreSubtotals="1" fieldPosition="0"/>
    </format>
    <format dxfId="183">
      <pivotArea type="origin" dataOnly="0" labelOnly="1" outline="0" fieldPosition="0"/>
    </format>
    <format dxfId="182">
      <pivotArea field="10" type="button" dataOnly="0" labelOnly="1" outline="0"/>
    </format>
    <format dxfId="181">
      <pivotArea type="topRight" dataOnly="0" labelOnly="1" outline="0" fieldPosition="0"/>
    </format>
    <format dxfId="180">
      <pivotArea field="1" type="button" dataOnly="0" labelOnly="1" outline="0" axis="axisRow" fieldPosition="0"/>
    </format>
    <format dxfId="179">
      <pivotArea dataOnly="0" labelOnly="1" fieldPosition="0">
        <references count="1">
          <reference field="1" count="0"/>
        </references>
      </pivotArea>
    </format>
    <format dxfId="178">
      <pivotArea dataOnly="0" labelOnly="1" grandRow="1" outline="0" fieldPosition="0"/>
    </format>
    <format dxfId="177">
      <pivotArea dataOnly="0" labelOnly="1" grandCol="1" outline="0" fieldPosition="0"/>
    </format>
    <format dxfId="176">
      <pivotArea type="all" dataOnly="0" outline="0" fieldPosition="0"/>
    </format>
    <format dxfId="175">
      <pivotArea outline="0" collapsedLevelsAreSubtotals="1" fieldPosition="0"/>
    </format>
    <format dxfId="174">
      <pivotArea type="origin" dataOnly="0" labelOnly="1" outline="0" fieldPosition="0"/>
    </format>
    <format dxfId="173">
      <pivotArea field="10" type="button" dataOnly="0" labelOnly="1" outline="0"/>
    </format>
    <format dxfId="172">
      <pivotArea type="topRight" dataOnly="0" labelOnly="1" outline="0" fieldPosition="0"/>
    </format>
    <format dxfId="171">
      <pivotArea field="1" type="button" dataOnly="0" labelOnly="1" outline="0" axis="axisRow" fieldPosition="0"/>
    </format>
    <format dxfId="170">
      <pivotArea dataOnly="0" labelOnly="1" fieldPosition="0">
        <references count="1">
          <reference field="1" count="0"/>
        </references>
      </pivotArea>
    </format>
    <format dxfId="169">
      <pivotArea dataOnly="0" labelOnly="1" grandRow="1" outline="0" fieldPosition="0"/>
    </format>
    <format dxfId="168">
      <pivotArea dataOnly="0" labelOnly="1" grandCol="1" outline="0" fieldPosition="0"/>
    </format>
    <format dxfId="167">
      <pivotArea type="all" dataOnly="0" outline="0" fieldPosition="0"/>
    </format>
    <format dxfId="166">
      <pivotArea outline="0" collapsedLevelsAreSubtotals="1" fieldPosition="0"/>
    </format>
    <format dxfId="165">
      <pivotArea type="origin" dataOnly="0" labelOnly="1" outline="0" fieldPosition="0"/>
    </format>
    <format dxfId="164">
      <pivotArea field="10" type="button" dataOnly="0" labelOnly="1" outline="0"/>
    </format>
    <format dxfId="163">
      <pivotArea type="topRight" dataOnly="0" labelOnly="1" outline="0" fieldPosition="0"/>
    </format>
    <format dxfId="162">
      <pivotArea field="1" type="button" dataOnly="0" labelOnly="1" outline="0" axis="axisRow" fieldPosition="0"/>
    </format>
    <format dxfId="161">
      <pivotArea dataOnly="0" labelOnly="1" fieldPosition="0">
        <references count="1">
          <reference field="1" count="0"/>
        </references>
      </pivotArea>
    </format>
    <format dxfId="160">
      <pivotArea dataOnly="0" labelOnly="1" grandRow="1" outline="0" fieldPosition="0"/>
    </format>
    <format dxfId="159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F31AD23-4592-43F8-898E-A961DA47600C}" name="PivotTable8" cacheId="6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rowHeaderCaption="CSP Name">
  <location ref="A15:E21" firstHeaderRow="1" firstDataRow="2" firstDataCol="1"/>
  <pivotFields count="58">
    <pivotField showAll="0"/>
    <pivotField axis="axisRow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4">
        <item x="1"/>
        <item x="0"/>
        <item x="2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32"/>
  </colFields>
  <colItems count="4">
    <i>
      <x/>
    </i>
    <i>
      <x v="1"/>
    </i>
    <i>
      <x v="2"/>
    </i>
    <i t="grand">
      <x/>
    </i>
  </colItems>
  <dataFields count="1">
    <dataField name="Tomato sold by CSP" fld="33" baseField="1" baseItem="0"/>
  </dataFields>
  <formats count="30">
    <format dxfId="215">
      <pivotArea type="all" dataOnly="0" outline="0" fieldPosition="0"/>
    </format>
    <format dxfId="214">
      <pivotArea outline="0" collapsedLevelsAreSubtotals="1" fieldPosition="0"/>
    </format>
    <format dxfId="213">
      <pivotArea type="origin" dataOnly="0" labelOnly="1" outline="0" fieldPosition="0"/>
    </format>
    <format dxfId="212">
      <pivotArea field="32" type="button" dataOnly="0" labelOnly="1" outline="0" axis="axisCol" fieldPosition="0"/>
    </format>
    <format dxfId="211">
      <pivotArea type="topRight" dataOnly="0" labelOnly="1" outline="0" fieldPosition="0"/>
    </format>
    <format dxfId="210">
      <pivotArea field="1" type="button" dataOnly="0" labelOnly="1" outline="0" axis="axisRow" fieldPosition="0"/>
    </format>
    <format dxfId="209">
      <pivotArea dataOnly="0" labelOnly="1" fieldPosition="0">
        <references count="1">
          <reference field="1" count="0"/>
        </references>
      </pivotArea>
    </format>
    <format dxfId="208">
      <pivotArea dataOnly="0" labelOnly="1" grandRow="1" outline="0" fieldPosition="0"/>
    </format>
    <format dxfId="207">
      <pivotArea dataOnly="0" labelOnly="1" fieldPosition="0">
        <references count="1">
          <reference field="32" count="0"/>
        </references>
      </pivotArea>
    </format>
    <format dxfId="206">
      <pivotArea dataOnly="0" labelOnly="1" grandCol="1" outline="0" fieldPosition="0"/>
    </format>
    <format dxfId="205">
      <pivotArea type="all" dataOnly="0" outline="0" fieldPosition="0"/>
    </format>
    <format dxfId="204">
      <pivotArea outline="0" collapsedLevelsAreSubtotals="1" fieldPosition="0"/>
    </format>
    <format dxfId="203">
      <pivotArea type="origin" dataOnly="0" labelOnly="1" outline="0" fieldPosition="0"/>
    </format>
    <format dxfId="202">
      <pivotArea field="32" type="button" dataOnly="0" labelOnly="1" outline="0" axis="axisCol" fieldPosition="0"/>
    </format>
    <format dxfId="201">
      <pivotArea type="topRight" dataOnly="0" labelOnly="1" outline="0" fieldPosition="0"/>
    </format>
    <format dxfId="200">
      <pivotArea field="1" type="button" dataOnly="0" labelOnly="1" outline="0" axis="axisRow" fieldPosition="0"/>
    </format>
    <format dxfId="199">
      <pivotArea dataOnly="0" labelOnly="1" fieldPosition="0">
        <references count="1">
          <reference field="1" count="0"/>
        </references>
      </pivotArea>
    </format>
    <format dxfId="198">
      <pivotArea dataOnly="0" labelOnly="1" grandRow="1" outline="0" fieldPosition="0"/>
    </format>
    <format dxfId="197">
      <pivotArea dataOnly="0" labelOnly="1" fieldPosition="0">
        <references count="1">
          <reference field="32" count="0"/>
        </references>
      </pivotArea>
    </format>
    <format dxfId="196">
      <pivotArea dataOnly="0" labelOnly="1" grandCol="1" outline="0" fieldPosition="0"/>
    </format>
    <format dxfId="195">
      <pivotArea type="all" dataOnly="0" outline="0" fieldPosition="0"/>
    </format>
    <format dxfId="194">
      <pivotArea outline="0" collapsedLevelsAreSubtotals="1" fieldPosition="0"/>
    </format>
    <format dxfId="193">
      <pivotArea type="origin" dataOnly="0" labelOnly="1" outline="0" fieldPosition="0"/>
    </format>
    <format dxfId="192">
      <pivotArea field="32" type="button" dataOnly="0" labelOnly="1" outline="0" axis="axisCol" fieldPosition="0"/>
    </format>
    <format dxfId="191">
      <pivotArea type="topRight" dataOnly="0" labelOnly="1" outline="0" fieldPosition="0"/>
    </format>
    <format dxfId="190">
      <pivotArea field="1" type="button" dataOnly="0" labelOnly="1" outline="0" axis="axisRow" fieldPosition="0"/>
    </format>
    <format dxfId="189">
      <pivotArea dataOnly="0" labelOnly="1" fieldPosition="0">
        <references count="1">
          <reference field="1" count="0"/>
        </references>
      </pivotArea>
    </format>
    <format dxfId="188">
      <pivotArea dataOnly="0" labelOnly="1" grandRow="1" outline="0" fieldPosition="0"/>
    </format>
    <format dxfId="187">
      <pivotArea dataOnly="0" labelOnly="1" fieldPosition="0">
        <references count="1">
          <reference field="32" count="0"/>
        </references>
      </pivotArea>
    </format>
    <format dxfId="186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C185BAF-2C8D-46B7-B18B-59B5EEFF305C}" name="PivotTable9" cacheId="6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rowHeaderCaption="CSP Name">
  <location ref="G23:K29" firstHeaderRow="1" firstDataRow="2" firstDataCol="1"/>
  <pivotFields count="58">
    <pivotField showAll="0"/>
    <pivotField axis="axisRow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axis="axisCol" showAll="0">
      <items count="4">
        <item x="0"/>
        <item x="1"/>
        <item x="2"/>
        <item t="default"/>
      </items>
    </pivotField>
    <pivotField dataField="1" showAll="0"/>
    <pivotField showAll="0"/>
    <pivotField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17"/>
  </colFields>
  <colItems count="4">
    <i>
      <x/>
    </i>
    <i>
      <x v="1"/>
    </i>
    <i>
      <x v="2"/>
    </i>
    <i t="grand">
      <x/>
    </i>
  </colItems>
  <dataFields count="1">
    <dataField name="Maize sold by CSP" fld="18" baseField="0" baseItem="0"/>
  </dataFields>
  <formats count="27">
    <format dxfId="242">
      <pivotArea type="all" dataOnly="0" outline="0" fieldPosition="0"/>
    </format>
    <format dxfId="241">
      <pivotArea outline="0" collapsedLevelsAreSubtotals="1" fieldPosition="0"/>
    </format>
    <format dxfId="240">
      <pivotArea type="origin" dataOnly="0" labelOnly="1" outline="0" fieldPosition="0"/>
    </format>
    <format dxfId="239">
      <pivotArea field="10" type="button" dataOnly="0" labelOnly="1" outline="0"/>
    </format>
    <format dxfId="238">
      <pivotArea type="topRight" dataOnly="0" labelOnly="1" outline="0" fieldPosition="0"/>
    </format>
    <format dxfId="237">
      <pivotArea field="1" type="button" dataOnly="0" labelOnly="1" outline="0" axis="axisRow" fieldPosition="0"/>
    </format>
    <format dxfId="236">
      <pivotArea dataOnly="0" labelOnly="1" fieldPosition="0">
        <references count="1">
          <reference field="1" count="0"/>
        </references>
      </pivotArea>
    </format>
    <format dxfId="235">
      <pivotArea dataOnly="0" labelOnly="1" grandRow="1" outline="0" fieldPosition="0"/>
    </format>
    <format dxfId="234">
      <pivotArea dataOnly="0" labelOnly="1" grandCol="1" outline="0" fieldPosition="0"/>
    </format>
    <format dxfId="233">
      <pivotArea type="all" dataOnly="0" outline="0" fieldPosition="0"/>
    </format>
    <format dxfId="232">
      <pivotArea outline="0" collapsedLevelsAreSubtotals="1" fieldPosition="0"/>
    </format>
    <format dxfId="231">
      <pivotArea type="origin" dataOnly="0" labelOnly="1" outline="0" fieldPosition="0"/>
    </format>
    <format dxfId="230">
      <pivotArea field="10" type="button" dataOnly="0" labelOnly="1" outline="0"/>
    </format>
    <format dxfId="229">
      <pivotArea type="topRight" dataOnly="0" labelOnly="1" outline="0" fieldPosition="0"/>
    </format>
    <format dxfId="228">
      <pivotArea field="1" type="button" dataOnly="0" labelOnly="1" outline="0" axis="axisRow" fieldPosition="0"/>
    </format>
    <format dxfId="227">
      <pivotArea dataOnly="0" labelOnly="1" fieldPosition="0">
        <references count="1">
          <reference field="1" count="0"/>
        </references>
      </pivotArea>
    </format>
    <format dxfId="226">
      <pivotArea dataOnly="0" labelOnly="1" grandRow="1" outline="0" fieldPosition="0"/>
    </format>
    <format dxfId="225">
      <pivotArea dataOnly="0" labelOnly="1" grandCol="1" outline="0" fieldPosition="0"/>
    </format>
    <format dxfId="224">
      <pivotArea type="all" dataOnly="0" outline="0" fieldPosition="0"/>
    </format>
    <format dxfId="223">
      <pivotArea outline="0" collapsedLevelsAreSubtotals="1" fieldPosition="0"/>
    </format>
    <format dxfId="222">
      <pivotArea type="origin" dataOnly="0" labelOnly="1" outline="0" fieldPosition="0"/>
    </format>
    <format dxfId="221">
      <pivotArea field="10" type="button" dataOnly="0" labelOnly="1" outline="0"/>
    </format>
    <format dxfId="220">
      <pivotArea type="topRight" dataOnly="0" labelOnly="1" outline="0" fieldPosition="0"/>
    </format>
    <format dxfId="219">
      <pivotArea field="1" type="button" dataOnly="0" labelOnly="1" outline="0" axis="axisRow" fieldPosition="0"/>
    </format>
    <format dxfId="218">
      <pivotArea dataOnly="0" labelOnly="1" fieldPosition="0">
        <references count="1">
          <reference field="1" count="0"/>
        </references>
      </pivotArea>
    </format>
    <format dxfId="217">
      <pivotArea dataOnly="0" labelOnly="1" grandRow="1" outline="0" fieldPosition="0"/>
    </format>
    <format dxfId="216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1FF42F6-C4DA-4C15-A073-6A19EDE79A6F}" name="PivotTable5" cacheId="6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rowHeaderCaption="Purchase status of farmers">
  <location ref="F6:K10" firstHeaderRow="1" firstDataRow="2" firstDataCol="1"/>
  <pivotFields count="58">
    <pivotField showAll="0"/>
    <pivotField showAll="0">
      <items count="5">
        <item x="2"/>
        <item x="0"/>
        <item x="1"/>
        <item x="3"/>
        <item t="default"/>
      </items>
    </pivotField>
    <pivotField showAll="0"/>
    <pivotField showAll="0"/>
    <pivotField showAll="0">
      <items count="3">
        <item x="1"/>
        <item x="0"/>
        <item t="default"/>
      </items>
    </pivotField>
    <pivotField axis="axisCol" showAll="0">
      <items count="5">
        <item x="2"/>
        <item x="3"/>
        <item x="1"/>
        <item x="0"/>
        <item t="default"/>
      </items>
    </pivotField>
    <pivotField showAll="0"/>
    <pivotField showAll="0"/>
    <pivotField axis="axisRow" dataField="1" showAll="0">
      <items count="3">
        <item x="1"/>
        <item x="0"/>
        <item t="default"/>
      </items>
    </pivotField>
    <pivotField showAll="0"/>
    <pivotField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8"/>
  </rowFields>
  <rowItems count="3">
    <i>
      <x/>
    </i>
    <i>
      <x v="1"/>
    </i>
    <i t="grand">
      <x/>
    </i>
  </rowItems>
  <colFields count="1">
    <field x="5"/>
  </colFields>
  <colItems count="5">
    <i>
      <x/>
    </i>
    <i>
      <x v="1"/>
    </i>
    <i>
      <x v="2"/>
    </i>
    <i>
      <x v="3"/>
    </i>
    <i t="grand">
      <x/>
    </i>
  </colItems>
  <dataFields count="1">
    <dataField name="Count of Purchased status" fld="8" subtotal="count" baseField="0" baseItem="0"/>
  </dataFields>
  <formats count="28">
    <format dxfId="270">
      <pivotArea field="1" type="button" dataOnly="0" labelOnly="1" outline="0"/>
    </format>
    <format dxfId="269">
      <pivotArea type="all" dataOnly="0" outline="0" fieldPosition="0"/>
    </format>
    <format dxfId="268">
      <pivotArea outline="0" collapsedLevelsAreSubtotals="1" fieldPosition="0"/>
    </format>
    <format dxfId="267">
      <pivotArea type="origin" dataOnly="0" labelOnly="1" outline="0" fieldPosition="0"/>
    </format>
    <format dxfId="266">
      <pivotArea field="5" type="button" dataOnly="0" labelOnly="1" outline="0" axis="axisCol" fieldPosition="0"/>
    </format>
    <format dxfId="265">
      <pivotArea type="topRight" dataOnly="0" labelOnly="1" outline="0" fieldPosition="0"/>
    </format>
    <format dxfId="264">
      <pivotArea field="4" type="button" dataOnly="0" labelOnly="1" outline="0"/>
    </format>
    <format dxfId="263">
      <pivotArea dataOnly="0" labelOnly="1" grandRow="1" outline="0" fieldPosition="0"/>
    </format>
    <format dxfId="262">
      <pivotArea dataOnly="0" labelOnly="1" fieldPosition="0">
        <references count="1">
          <reference field="5" count="0"/>
        </references>
      </pivotArea>
    </format>
    <format dxfId="261">
      <pivotArea dataOnly="0" labelOnly="1" grandCol="1" outline="0" fieldPosition="0"/>
    </format>
    <format dxfId="260">
      <pivotArea type="all" dataOnly="0" outline="0" fieldPosition="0"/>
    </format>
    <format dxfId="259">
      <pivotArea outline="0" collapsedLevelsAreSubtotals="1" fieldPosition="0"/>
    </format>
    <format dxfId="258">
      <pivotArea type="origin" dataOnly="0" labelOnly="1" outline="0" fieldPosition="0"/>
    </format>
    <format dxfId="257">
      <pivotArea field="5" type="button" dataOnly="0" labelOnly="1" outline="0" axis="axisCol" fieldPosition="0"/>
    </format>
    <format dxfId="256">
      <pivotArea type="topRight" dataOnly="0" labelOnly="1" outline="0" fieldPosition="0"/>
    </format>
    <format dxfId="255">
      <pivotArea field="4" type="button" dataOnly="0" labelOnly="1" outline="0"/>
    </format>
    <format dxfId="254">
      <pivotArea dataOnly="0" labelOnly="1" grandRow="1" outline="0" fieldPosition="0"/>
    </format>
    <format dxfId="253">
      <pivotArea dataOnly="0" labelOnly="1" fieldPosition="0">
        <references count="1">
          <reference field="5" count="0"/>
        </references>
      </pivotArea>
    </format>
    <format dxfId="252">
      <pivotArea dataOnly="0" labelOnly="1" grandCol="1" outline="0" fieldPosition="0"/>
    </format>
    <format dxfId="251">
      <pivotArea type="all" dataOnly="0" outline="0" fieldPosition="0"/>
    </format>
    <format dxfId="250">
      <pivotArea outline="0" collapsedLevelsAreSubtotals="1" fieldPosition="0"/>
    </format>
    <format dxfId="249">
      <pivotArea type="origin" dataOnly="0" labelOnly="1" outline="0" fieldPosition="0"/>
    </format>
    <format dxfId="248">
      <pivotArea field="5" type="button" dataOnly="0" labelOnly="1" outline="0" axis="axisCol" fieldPosition="0"/>
    </format>
    <format dxfId="247">
      <pivotArea type="topRight" dataOnly="0" labelOnly="1" outline="0" fieldPosition="0"/>
    </format>
    <format dxfId="246">
      <pivotArea field="4" type="button" dataOnly="0" labelOnly="1" outline="0"/>
    </format>
    <format dxfId="245">
      <pivotArea dataOnly="0" labelOnly="1" grandRow="1" outline="0" fieldPosition="0"/>
    </format>
    <format dxfId="244">
      <pivotArea dataOnly="0" labelOnly="1" fieldPosition="0">
        <references count="1">
          <reference field="5" count="0"/>
        </references>
      </pivotArea>
    </format>
    <format dxfId="243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75051A3-75EB-4659-8DF2-A150F75107FE}" name="PivotTable6" cacheId="6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rowHeaderCaption="Reason for not buying inputs from FPC">
  <location ref="M6:P12" firstHeaderRow="1" firstDataRow="2" firstDataCol="1" rowPageCount="1" colPageCount="1"/>
  <pivotFields count="58">
    <pivotField showAll="0"/>
    <pivotField showAll="0">
      <items count="5">
        <item x="2"/>
        <item x="0"/>
        <item x="1"/>
        <item x="3"/>
        <item t="default"/>
      </items>
    </pivotField>
    <pivotField showAll="0"/>
    <pivotField showAll="0"/>
    <pivotField showAll="0">
      <items count="3">
        <item x="1"/>
        <item x="0"/>
        <item t="default"/>
      </items>
    </pivotField>
    <pivotField axis="axisCol" showAll="0">
      <items count="5">
        <item x="2"/>
        <item x="3"/>
        <item x="1"/>
        <item x="0"/>
        <item t="default"/>
      </items>
    </pivotField>
    <pivotField showAll="0"/>
    <pivotField showAll="0"/>
    <pivotField axis="axisPage" showAll="0">
      <items count="3">
        <item x="1"/>
        <item x="0"/>
        <item t="default"/>
      </items>
    </pivotField>
    <pivotField axis="axisRow" dataField="1" showAll="0">
      <items count="6">
        <item x="4"/>
        <item x="2"/>
        <item x="3"/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5">
    <i>
      <x/>
    </i>
    <i>
      <x v="1"/>
    </i>
    <i>
      <x v="2"/>
    </i>
    <i>
      <x v="4"/>
    </i>
    <i t="grand">
      <x/>
    </i>
  </rowItems>
  <colFields count="1">
    <field x="5"/>
  </colFields>
  <colItems count="3">
    <i>
      <x/>
    </i>
    <i>
      <x v="2"/>
    </i>
    <i t="grand">
      <x/>
    </i>
  </colItems>
  <pageFields count="1">
    <pageField fld="8" item="0" hier="-1"/>
  </pageFields>
  <dataFields count="1">
    <dataField name="Count of If No, Mention reason" fld="9" subtotal="count" baseField="0" baseItem="0"/>
  </dataFields>
  <formats count="28">
    <format dxfId="298">
      <pivotArea field="1" type="button" dataOnly="0" labelOnly="1" outline="0"/>
    </format>
    <format dxfId="297">
      <pivotArea type="all" dataOnly="0" outline="0" fieldPosition="0"/>
    </format>
    <format dxfId="296">
      <pivotArea outline="0" collapsedLevelsAreSubtotals="1" fieldPosition="0"/>
    </format>
    <format dxfId="295">
      <pivotArea type="origin" dataOnly="0" labelOnly="1" outline="0" fieldPosition="0"/>
    </format>
    <format dxfId="294">
      <pivotArea field="5" type="button" dataOnly="0" labelOnly="1" outline="0" axis="axisCol" fieldPosition="0"/>
    </format>
    <format dxfId="293">
      <pivotArea type="topRight" dataOnly="0" labelOnly="1" outline="0" fieldPosition="0"/>
    </format>
    <format dxfId="292">
      <pivotArea field="4" type="button" dataOnly="0" labelOnly="1" outline="0"/>
    </format>
    <format dxfId="291">
      <pivotArea dataOnly="0" labelOnly="1" grandRow="1" outline="0" fieldPosition="0"/>
    </format>
    <format dxfId="290">
      <pivotArea dataOnly="0" labelOnly="1" fieldPosition="0">
        <references count="1">
          <reference field="5" count="0"/>
        </references>
      </pivotArea>
    </format>
    <format dxfId="289">
      <pivotArea dataOnly="0" labelOnly="1" grandCol="1" outline="0" fieldPosition="0"/>
    </format>
    <format dxfId="288">
      <pivotArea type="all" dataOnly="0" outline="0" fieldPosition="0"/>
    </format>
    <format dxfId="287">
      <pivotArea outline="0" collapsedLevelsAreSubtotals="1" fieldPosition="0"/>
    </format>
    <format dxfId="286">
      <pivotArea type="origin" dataOnly="0" labelOnly="1" outline="0" fieldPosition="0"/>
    </format>
    <format dxfId="285">
      <pivotArea field="5" type="button" dataOnly="0" labelOnly="1" outline="0" axis="axisCol" fieldPosition="0"/>
    </format>
    <format dxfId="284">
      <pivotArea type="topRight" dataOnly="0" labelOnly="1" outline="0" fieldPosition="0"/>
    </format>
    <format dxfId="283">
      <pivotArea field="4" type="button" dataOnly="0" labelOnly="1" outline="0"/>
    </format>
    <format dxfId="282">
      <pivotArea dataOnly="0" labelOnly="1" grandRow="1" outline="0" fieldPosition="0"/>
    </format>
    <format dxfId="281">
      <pivotArea dataOnly="0" labelOnly="1" fieldPosition="0">
        <references count="1">
          <reference field="5" count="0"/>
        </references>
      </pivotArea>
    </format>
    <format dxfId="280">
      <pivotArea dataOnly="0" labelOnly="1" grandCol="1" outline="0" fieldPosition="0"/>
    </format>
    <format dxfId="279">
      <pivotArea type="all" dataOnly="0" outline="0" fieldPosition="0"/>
    </format>
    <format dxfId="278">
      <pivotArea outline="0" collapsedLevelsAreSubtotals="1" fieldPosition="0"/>
    </format>
    <format dxfId="277">
      <pivotArea type="origin" dataOnly="0" labelOnly="1" outline="0" fieldPosition="0"/>
    </format>
    <format dxfId="276">
      <pivotArea field="5" type="button" dataOnly="0" labelOnly="1" outline="0" axis="axisCol" fieldPosition="0"/>
    </format>
    <format dxfId="275">
      <pivotArea type="topRight" dataOnly="0" labelOnly="1" outline="0" fieldPosition="0"/>
    </format>
    <format dxfId="274">
      <pivotArea field="4" type="button" dataOnly="0" labelOnly="1" outline="0"/>
    </format>
    <format dxfId="273">
      <pivotArea dataOnly="0" labelOnly="1" grandRow="1" outline="0" fieldPosition="0"/>
    </format>
    <format dxfId="272">
      <pivotArea dataOnly="0" labelOnly="1" fieldPosition="0">
        <references count="1">
          <reference field="5" count="0"/>
        </references>
      </pivotArea>
    </format>
    <format dxfId="271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D618D0D-5A94-4BC2-83DB-047EDF546035}" name="PivotTable4" cacheId="6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rowHeaderCaption="Village wise selling by CSP">
  <location ref="A6:D12" firstHeaderRow="1" firstDataRow="2" firstDataCol="1"/>
  <pivotFields count="58">
    <pivotField showAll="0"/>
    <pivotField axis="axisRow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showAll="0">
      <items count="5">
        <item x="2"/>
        <item x="3"/>
        <item x="1"/>
        <item x="0"/>
        <item t="default"/>
      </items>
    </pivotField>
    <pivotField showAll="0"/>
    <pivotField showAll="0"/>
    <pivotField axis="axisCol" dataField="1" showAll="0">
      <items count="3">
        <item x="1"/>
        <item x="0"/>
        <item t="default"/>
      </items>
    </pivotField>
    <pivotField showAll="0"/>
    <pivotField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8"/>
  </colFields>
  <colItems count="3">
    <i>
      <x/>
    </i>
    <i>
      <x v="1"/>
    </i>
    <i t="grand">
      <x/>
    </i>
  </colItems>
  <dataFields count="1">
    <dataField name="Count of Purchased status" fld="8" subtotal="count" baseField="0" baseItem="0"/>
  </dataFields>
  <formats count="4">
    <format dxfId="302">
      <pivotArea field="1" type="button" dataOnly="0" labelOnly="1" outline="0" axis="axisRow" fieldPosition="0"/>
    </format>
    <format dxfId="301">
      <pivotArea type="all" dataOnly="0" outline="0" fieldPosition="0"/>
    </format>
    <format dxfId="300">
      <pivotArea type="all" dataOnly="0" outline="0" fieldPosition="0"/>
    </format>
    <format dxfId="299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6" Type="http://schemas.openxmlformats.org/officeDocument/2006/relationships/printerSettings" Target="../printerSettings/printerSettings1.bin"/><Relationship Id="rId5" Type="http://schemas.openxmlformats.org/officeDocument/2006/relationships/pivotTable" Target="../pivotTables/pivotTable6.xml"/><Relationship Id="rId4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1.xml"/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Relationship Id="rId4" Type="http://schemas.openxmlformats.org/officeDocument/2006/relationships/pivotTable" Target="../pivotTables/pivotTable12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20.xml"/><Relationship Id="rId3" Type="http://schemas.openxmlformats.org/officeDocument/2006/relationships/pivotTable" Target="../pivotTables/pivotTable15.xml"/><Relationship Id="rId7" Type="http://schemas.openxmlformats.org/officeDocument/2006/relationships/pivotTable" Target="../pivotTables/pivotTable19.xml"/><Relationship Id="rId2" Type="http://schemas.openxmlformats.org/officeDocument/2006/relationships/pivotTable" Target="../pivotTables/pivotTable14.xml"/><Relationship Id="rId1" Type="http://schemas.openxmlformats.org/officeDocument/2006/relationships/pivotTable" Target="../pivotTables/pivotTable13.xml"/><Relationship Id="rId6" Type="http://schemas.openxmlformats.org/officeDocument/2006/relationships/pivotTable" Target="../pivotTables/pivotTable18.xml"/><Relationship Id="rId5" Type="http://schemas.openxmlformats.org/officeDocument/2006/relationships/pivotTable" Target="../pivotTables/pivotTable17.xml"/><Relationship Id="rId4" Type="http://schemas.openxmlformats.org/officeDocument/2006/relationships/pivotTable" Target="../pivotTables/pivotTable1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83C19-354F-4B31-854A-D55B130F70B9}">
  <dimension ref="A1"/>
  <sheetViews>
    <sheetView workbookViewId="0">
      <selection activeCell="J19" sqref="J1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14EFF-9B9F-47FB-AF27-F86538976F69}">
  <dimension ref="D1:Q120"/>
  <sheetViews>
    <sheetView showGridLines="0" topLeftCell="G1" workbookViewId="0">
      <selection activeCell="M6" sqref="M6:P6"/>
    </sheetView>
  </sheetViews>
  <sheetFormatPr defaultRowHeight="15" x14ac:dyDescent="0.25"/>
  <cols>
    <col min="1" max="3" width="9.140625" style="51"/>
    <col min="4" max="4" width="17.5703125" style="51" customWidth="1"/>
    <col min="5" max="5" width="17.7109375" style="51" customWidth="1"/>
    <col min="6" max="6" width="9.5703125" style="51" bestFit="1" customWidth="1"/>
    <col min="7" max="7" width="20" style="51" customWidth="1"/>
    <col min="8" max="8" width="38.7109375" style="51" bestFit="1" customWidth="1"/>
    <col min="9" max="9" width="11.140625" style="51" bestFit="1" customWidth="1"/>
    <col min="10" max="10" width="13.42578125" style="51" bestFit="1" customWidth="1"/>
    <col min="11" max="11" width="15.7109375" style="51" bestFit="1" customWidth="1"/>
    <col min="12" max="12" width="18.7109375" style="51" customWidth="1"/>
    <col min="13" max="13" width="17.85546875" style="51" customWidth="1"/>
    <col min="14" max="14" width="14.7109375" style="51" customWidth="1"/>
    <col min="15" max="15" width="9.140625" style="51"/>
    <col min="16" max="16" width="16.140625" style="51" customWidth="1"/>
    <col min="17" max="17" width="13" style="51" customWidth="1"/>
    <col min="18" max="16384" width="9.140625" style="51"/>
  </cols>
  <sheetData>
    <row r="1" spans="4:17" ht="15.75" thickBot="1" x14ac:dyDescent="0.3"/>
    <row r="2" spans="4:17" ht="15.75" thickBot="1" x14ac:dyDescent="0.3">
      <c r="D2" s="127" t="s">
        <v>0</v>
      </c>
      <c r="E2" s="128"/>
      <c r="F2" s="128"/>
      <c r="G2" s="128"/>
      <c r="H2" s="72">
        <v>-0.21</v>
      </c>
    </row>
    <row r="4" spans="4:17" x14ac:dyDescent="0.25">
      <c r="D4" s="51" t="s">
        <v>1</v>
      </c>
      <c r="L4" s="51" t="s">
        <v>2</v>
      </c>
    </row>
    <row r="5" spans="4:17" x14ac:dyDescent="0.25">
      <c r="D5" s="58" t="s">
        <v>3</v>
      </c>
      <c r="E5" s="58" t="s">
        <v>4</v>
      </c>
      <c r="F5" s="58" t="s">
        <v>5</v>
      </c>
      <c r="G5" s="58" t="s">
        <v>6</v>
      </c>
      <c r="H5" s="58" t="s">
        <v>7</v>
      </c>
      <c r="I5" s="51" t="s">
        <v>8</v>
      </c>
      <c r="L5" s="51" t="s">
        <v>9</v>
      </c>
    </row>
    <row r="6" spans="4:17" x14ac:dyDescent="0.25">
      <c r="D6" s="62" t="s">
        <v>10</v>
      </c>
      <c r="E6" s="58">
        <v>12</v>
      </c>
      <c r="F6" s="58"/>
      <c r="G6" s="58"/>
      <c r="H6" s="58"/>
      <c r="I6" s="51">
        <f>SUM(E6:H6)</f>
        <v>12</v>
      </c>
      <c r="L6" s="58" t="s">
        <v>3</v>
      </c>
      <c r="M6" s="58" t="s">
        <v>11</v>
      </c>
      <c r="N6" s="58" t="s">
        <v>12</v>
      </c>
      <c r="O6" s="58" t="s">
        <v>13</v>
      </c>
      <c r="P6" s="58" t="s">
        <v>14</v>
      </c>
      <c r="Q6" s="51" t="s">
        <v>8</v>
      </c>
    </row>
    <row r="7" spans="4:17" x14ac:dyDescent="0.25">
      <c r="D7" s="62" t="s">
        <v>15</v>
      </c>
      <c r="E7" s="58">
        <v>178.25</v>
      </c>
      <c r="F7" s="58">
        <v>4</v>
      </c>
      <c r="G7" s="58">
        <v>5</v>
      </c>
      <c r="H7" s="58">
        <v>7</v>
      </c>
      <c r="I7" s="51">
        <f>SUM(E7:H7)</f>
        <v>194.25</v>
      </c>
      <c r="L7" s="62" t="s">
        <v>10</v>
      </c>
      <c r="M7" s="62">
        <v>12</v>
      </c>
      <c r="N7" s="62">
        <v>0</v>
      </c>
      <c r="O7" s="62">
        <v>0</v>
      </c>
      <c r="P7" s="62">
        <v>0</v>
      </c>
      <c r="Q7" s="51">
        <v>12</v>
      </c>
    </row>
    <row r="8" spans="4:17" x14ac:dyDescent="0.25">
      <c r="D8" s="62" t="s">
        <v>16</v>
      </c>
      <c r="E8" s="58">
        <v>29</v>
      </c>
      <c r="F8" s="58"/>
      <c r="G8" s="58"/>
      <c r="H8" s="58"/>
      <c r="I8" s="51">
        <f t="shared" ref="I8:I9" si="0">SUM(E8:H8)</f>
        <v>29</v>
      </c>
      <c r="L8" s="62" t="s">
        <v>15</v>
      </c>
      <c r="M8" s="62">
        <v>0</v>
      </c>
      <c r="N8" s="62">
        <v>0</v>
      </c>
      <c r="O8" s="62">
        <v>0</v>
      </c>
      <c r="P8" s="62">
        <v>194.25</v>
      </c>
      <c r="Q8" s="51">
        <v>194.25</v>
      </c>
    </row>
    <row r="9" spans="4:17" ht="15.75" thickBot="1" x14ac:dyDescent="0.3">
      <c r="D9" s="62" t="s">
        <v>17</v>
      </c>
      <c r="E9" s="58">
        <v>28</v>
      </c>
      <c r="F9" s="58"/>
      <c r="G9" s="58"/>
      <c r="H9" s="58"/>
      <c r="I9" s="51">
        <f t="shared" si="0"/>
        <v>28</v>
      </c>
      <c r="L9" s="62" t="s">
        <v>16</v>
      </c>
      <c r="M9" s="62">
        <v>0</v>
      </c>
      <c r="N9" s="62">
        <v>0</v>
      </c>
      <c r="O9" s="62">
        <v>29</v>
      </c>
      <c r="P9" s="62">
        <v>0</v>
      </c>
      <c r="Q9" s="51">
        <v>29</v>
      </c>
    </row>
    <row r="10" spans="4:17" ht="15.75" thickBot="1" x14ac:dyDescent="0.3">
      <c r="I10" s="73">
        <f>SUM(I6:I9)</f>
        <v>263.25</v>
      </c>
      <c r="L10" s="62" t="s">
        <v>17</v>
      </c>
      <c r="M10" s="62">
        <v>0</v>
      </c>
      <c r="N10" s="62">
        <v>28</v>
      </c>
      <c r="O10" s="62">
        <v>0</v>
      </c>
      <c r="P10" s="62">
        <v>0</v>
      </c>
      <c r="Q10" s="51">
        <v>28</v>
      </c>
    </row>
    <row r="11" spans="4:17" x14ac:dyDescent="0.25">
      <c r="P11" s="51">
        <v>263.25</v>
      </c>
    </row>
    <row r="12" spans="4:17" ht="15.75" thickBot="1" x14ac:dyDescent="0.3">
      <c r="D12" s="74" t="s">
        <v>18</v>
      </c>
      <c r="E12" s="74"/>
      <c r="F12" s="74"/>
      <c r="G12" s="74"/>
      <c r="H12" s="74"/>
    </row>
    <row r="13" spans="4:17" ht="15.75" thickBot="1" x14ac:dyDescent="0.3">
      <c r="D13" s="58" t="s">
        <v>3</v>
      </c>
      <c r="E13" s="58" t="s">
        <v>4</v>
      </c>
      <c r="F13" s="58" t="s">
        <v>5</v>
      </c>
      <c r="G13" s="58" t="s">
        <v>6</v>
      </c>
      <c r="H13" s="58" t="s">
        <v>7</v>
      </c>
      <c r="L13" s="51" t="s">
        <v>8</v>
      </c>
      <c r="M13" s="63">
        <v>12</v>
      </c>
      <c r="N13" s="64">
        <v>28</v>
      </c>
      <c r="O13" s="64">
        <v>29</v>
      </c>
      <c r="P13" s="65">
        <v>194.25</v>
      </c>
    </row>
    <row r="14" spans="4:17" x14ac:dyDescent="0.25">
      <c r="D14" s="62" t="s">
        <v>10</v>
      </c>
      <c r="E14" s="58">
        <v>5</v>
      </c>
      <c r="F14" s="58"/>
      <c r="G14" s="58"/>
      <c r="H14" s="58"/>
      <c r="I14" s="51">
        <f>SUM(E14:H14)</f>
        <v>5</v>
      </c>
    </row>
    <row r="15" spans="4:17" x14ac:dyDescent="0.25">
      <c r="D15" s="62" t="s">
        <v>15</v>
      </c>
      <c r="E15" s="58">
        <v>148</v>
      </c>
      <c r="F15" s="58">
        <v>1</v>
      </c>
      <c r="G15" s="58">
        <v>5</v>
      </c>
      <c r="H15" s="58">
        <v>7</v>
      </c>
      <c r="I15" s="51">
        <f t="shared" ref="I15:I17" si="1">SUM(E15:H15)</f>
        <v>161</v>
      </c>
      <c r="L15" s="51" t="s">
        <v>19</v>
      </c>
    </row>
    <row r="16" spans="4:17" x14ac:dyDescent="0.25">
      <c r="D16" s="62" t="s">
        <v>16</v>
      </c>
      <c r="E16" s="58">
        <v>13</v>
      </c>
      <c r="F16" s="58"/>
      <c r="G16" s="58"/>
      <c r="H16" s="58"/>
      <c r="I16" s="51">
        <f t="shared" si="1"/>
        <v>13</v>
      </c>
      <c r="L16" s="58" t="s">
        <v>3</v>
      </c>
      <c r="M16" s="58" t="s">
        <v>11</v>
      </c>
      <c r="N16" s="58" t="s">
        <v>12</v>
      </c>
      <c r="O16" s="58" t="s">
        <v>13</v>
      </c>
      <c r="P16" s="58" t="s">
        <v>14</v>
      </c>
      <c r="Q16" s="51" t="s">
        <v>8</v>
      </c>
    </row>
    <row r="17" spans="4:17" ht="15.75" thickBot="1" x14ac:dyDescent="0.3">
      <c r="D17" s="62" t="s">
        <v>17</v>
      </c>
      <c r="E17" s="58">
        <v>29</v>
      </c>
      <c r="F17" s="58"/>
      <c r="G17" s="58"/>
      <c r="H17" s="58"/>
      <c r="I17" s="51">
        <f t="shared" si="1"/>
        <v>29</v>
      </c>
      <c r="L17" s="58" t="s">
        <v>10</v>
      </c>
      <c r="M17" s="58">
        <v>5</v>
      </c>
      <c r="N17" s="58">
        <v>0</v>
      </c>
      <c r="O17" s="58">
        <v>0</v>
      </c>
      <c r="P17" s="58">
        <v>0</v>
      </c>
      <c r="Q17" s="51">
        <v>5</v>
      </c>
    </row>
    <row r="18" spans="4:17" ht="15.75" thickBot="1" x14ac:dyDescent="0.3">
      <c r="I18" s="73">
        <f>SUM(I14:I17)</f>
        <v>208</v>
      </c>
      <c r="L18" s="58" t="s">
        <v>15</v>
      </c>
      <c r="M18" s="58">
        <v>0</v>
      </c>
      <c r="N18" s="58">
        <v>0</v>
      </c>
      <c r="O18" s="58">
        <v>0</v>
      </c>
      <c r="P18" s="58">
        <v>161</v>
      </c>
      <c r="Q18" s="51">
        <v>161</v>
      </c>
    </row>
    <row r="19" spans="4:17" x14ac:dyDescent="0.25">
      <c r="L19" s="58" t="s">
        <v>16</v>
      </c>
      <c r="M19" s="58">
        <v>0</v>
      </c>
      <c r="N19" s="58">
        <v>0</v>
      </c>
      <c r="O19" s="58">
        <v>13</v>
      </c>
      <c r="P19" s="58">
        <v>0</v>
      </c>
      <c r="Q19" s="51">
        <v>13</v>
      </c>
    </row>
    <row r="20" spans="4:17" x14ac:dyDescent="0.25">
      <c r="L20" s="58" t="s">
        <v>17</v>
      </c>
      <c r="M20" s="58">
        <v>0</v>
      </c>
      <c r="N20" s="58">
        <v>29</v>
      </c>
      <c r="O20" s="58">
        <v>0</v>
      </c>
      <c r="P20" s="58">
        <v>0</v>
      </c>
      <c r="Q20" s="51">
        <v>29</v>
      </c>
    </row>
    <row r="21" spans="4:17" x14ac:dyDescent="0.25">
      <c r="D21" s="58" t="s">
        <v>3</v>
      </c>
      <c r="E21" s="58" t="s">
        <v>4</v>
      </c>
      <c r="F21" s="58" t="s">
        <v>5</v>
      </c>
      <c r="G21" s="58" t="s">
        <v>6</v>
      </c>
      <c r="H21" s="58" t="s">
        <v>7</v>
      </c>
      <c r="L21" s="58"/>
      <c r="M21" s="58"/>
      <c r="N21" s="58"/>
      <c r="O21" s="58"/>
      <c r="P21" s="58">
        <v>208</v>
      </c>
    </row>
    <row r="22" spans="4:17" x14ac:dyDescent="0.25">
      <c r="D22" s="62" t="s">
        <v>10</v>
      </c>
      <c r="E22" s="66">
        <f>(E14-E6)/E6</f>
        <v>-0.58333333333333337</v>
      </c>
      <c r="F22" s="66"/>
      <c r="G22" s="66"/>
      <c r="H22" s="66"/>
    </row>
    <row r="23" spans="4:17" x14ac:dyDescent="0.25">
      <c r="D23" s="62" t="s">
        <v>15</v>
      </c>
      <c r="E23" s="66">
        <f t="shared" ref="E23:E25" si="2">(E15-E7)/E7</f>
        <v>-0.1697054698457223</v>
      </c>
      <c r="F23" s="66">
        <f>(F15-F7)/F7</f>
        <v>-0.75</v>
      </c>
      <c r="G23" s="66">
        <f>(G15-G7)/G7</f>
        <v>0</v>
      </c>
      <c r="H23" s="66">
        <f>(H15-H7)/H7</f>
        <v>0</v>
      </c>
      <c r="L23" s="51" t="s">
        <v>8</v>
      </c>
      <c r="M23" s="51">
        <v>5</v>
      </c>
      <c r="N23" s="51">
        <v>29</v>
      </c>
      <c r="O23" s="51">
        <v>13</v>
      </c>
      <c r="P23" s="51">
        <v>161</v>
      </c>
    </row>
    <row r="24" spans="4:17" x14ac:dyDescent="0.25">
      <c r="D24" s="62" t="s">
        <v>16</v>
      </c>
      <c r="E24" s="66">
        <f t="shared" si="2"/>
        <v>-0.55172413793103448</v>
      </c>
      <c r="F24" s="66"/>
      <c r="G24" s="66"/>
      <c r="H24" s="66"/>
    </row>
    <row r="25" spans="4:17" ht="15.75" thickBot="1" x14ac:dyDescent="0.3">
      <c r="D25" s="62" t="s">
        <v>17</v>
      </c>
      <c r="E25" s="66">
        <f t="shared" si="2"/>
        <v>3.5714285714285712E-2</v>
      </c>
      <c r="F25" s="66"/>
      <c r="G25" s="66"/>
      <c r="H25" s="66"/>
    </row>
    <row r="26" spans="4:17" ht="15.75" thickBot="1" x14ac:dyDescent="0.3">
      <c r="I26" s="67">
        <f>(I18-I10)/I10</f>
        <v>-0.20987654320987653</v>
      </c>
      <c r="M26" s="59">
        <v>-0.58333333333333337</v>
      </c>
      <c r="N26" s="60">
        <v>3.5714285714285712E-2</v>
      </c>
      <c r="O26" s="60">
        <v>-0.55172413793103448</v>
      </c>
      <c r="P26" s="61">
        <v>-0.17117117117117117</v>
      </c>
    </row>
    <row r="30" spans="4:17" x14ac:dyDescent="0.25">
      <c r="D30" s="51" t="s">
        <v>20</v>
      </c>
      <c r="J30" s="58" t="s">
        <v>21</v>
      </c>
      <c r="K30" s="58" t="s">
        <v>22</v>
      </c>
      <c r="M30" s="76" t="s">
        <v>23</v>
      </c>
      <c r="N30" s="77" t="s">
        <v>24</v>
      </c>
      <c r="O30" s="77" t="s">
        <v>25</v>
      </c>
      <c r="P30" s="77" t="s">
        <v>26</v>
      </c>
      <c r="Q30" s="54"/>
    </row>
    <row r="31" spans="4:17" x14ac:dyDescent="0.25">
      <c r="E31" s="51" t="s">
        <v>9</v>
      </c>
      <c r="F31" s="51" t="s">
        <v>27</v>
      </c>
      <c r="G31" s="51" t="s">
        <v>28</v>
      </c>
      <c r="J31" s="58" t="s">
        <v>25</v>
      </c>
      <c r="K31" s="58">
        <v>27</v>
      </c>
      <c r="M31" s="75" t="s">
        <v>29</v>
      </c>
      <c r="N31" s="75">
        <f>COUNTIF('Input selling form'!$I$3:$I$1000,"Yes")</f>
        <v>61</v>
      </c>
      <c r="O31" s="75">
        <f>COUNTIFS('Input selling form'!$E$3:$E$1000,"Yes",'Input selling form'!$I$3:$I$1000,"Yes")</f>
        <v>22</v>
      </c>
      <c r="P31" s="75">
        <f>COUNTIFS('Input selling form'!$E$3:$E$1000,"No",'Input selling form'!$I$3:$I$1000,"Yes")</f>
        <v>39</v>
      </c>
      <c r="Q31" s="54"/>
    </row>
    <row r="32" spans="4:17" x14ac:dyDescent="0.25">
      <c r="D32" s="58" t="s">
        <v>4</v>
      </c>
      <c r="E32" s="58">
        <v>247.25</v>
      </c>
      <c r="F32" s="58">
        <v>195</v>
      </c>
      <c r="G32" s="68">
        <v>0.788675429726997</v>
      </c>
      <c r="J32" s="58" t="s">
        <v>30</v>
      </c>
      <c r="K32" s="58">
        <v>58</v>
      </c>
      <c r="M32" s="75" t="s">
        <v>31</v>
      </c>
      <c r="N32" s="75">
        <f>COUNTIF('Input selling form'!$I$3:$I$1000,"No")</f>
        <v>24</v>
      </c>
      <c r="O32" s="75">
        <f>COUNTIFS('Input selling form'!$E$3:$E$1000,"Yes",'Input selling form'!$I$3:$I$1000,"No")</f>
        <v>5</v>
      </c>
      <c r="P32" s="75">
        <f>COUNTIFS('Input selling form'!$E$3:$E$1000,"No",'Input selling form'!$I$3:$I$1000,"No")</f>
        <v>19</v>
      </c>
      <c r="Q32" s="54"/>
    </row>
    <row r="33" spans="4:13" x14ac:dyDescent="0.25">
      <c r="D33" s="58" t="s">
        <v>5</v>
      </c>
      <c r="E33" s="58">
        <v>4</v>
      </c>
      <c r="F33" s="58">
        <v>1</v>
      </c>
      <c r="G33" s="68">
        <v>0.25</v>
      </c>
    </row>
    <row r="34" spans="4:13" x14ac:dyDescent="0.25">
      <c r="D34" s="58" t="s">
        <v>6</v>
      </c>
      <c r="E34" s="58">
        <v>5</v>
      </c>
      <c r="F34" s="58">
        <v>5</v>
      </c>
      <c r="G34" s="68">
        <v>1</v>
      </c>
    </row>
    <row r="35" spans="4:13" x14ac:dyDescent="0.25">
      <c r="D35" s="58" t="s">
        <v>7</v>
      </c>
      <c r="E35" s="58">
        <v>7</v>
      </c>
      <c r="F35" s="58">
        <v>7</v>
      </c>
      <c r="G35" s="68">
        <v>1</v>
      </c>
    </row>
    <row r="37" spans="4:13" x14ac:dyDescent="0.25">
      <c r="L37" s="129" t="s">
        <v>21</v>
      </c>
      <c r="M37" s="129"/>
    </row>
    <row r="38" spans="4:13" x14ac:dyDescent="0.25">
      <c r="K38" s="55" t="s">
        <v>32</v>
      </c>
      <c r="L38" s="55" t="s">
        <v>31</v>
      </c>
      <c r="M38" s="55" t="s">
        <v>29</v>
      </c>
    </row>
    <row r="39" spans="4:13" x14ac:dyDescent="0.25">
      <c r="D39" s="51" t="s">
        <v>33</v>
      </c>
      <c r="K39" s="52" t="s">
        <v>34</v>
      </c>
      <c r="L39" s="51">
        <v>2</v>
      </c>
    </row>
    <row r="40" spans="4:13" x14ac:dyDescent="0.25">
      <c r="D40" s="55" t="s">
        <v>35</v>
      </c>
      <c r="E40" s="55" t="s">
        <v>36</v>
      </c>
      <c r="K40" s="52" t="s">
        <v>37</v>
      </c>
      <c r="M40" s="51">
        <v>25</v>
      </c>
    </row>
    <row r="41" spans="4:13" x14ac:dyDescent="0.25">
      <c r="D41" s="56" t="s">
        <v>38</v>
      </c>
      <c r="E41" s="51" t="s">
        <v>39</v>
      </c>
      <c r="K41" s="52" t="s">
        <v>40</v>
      </c>
      <c r="L41" s="51">
        <v>1</v>
      </c>
    </row>
    <row r="42" spans="4:13" x14ac:dyDescent="0.25">
      <c r="D42" s="56" t="s">
        <v>41</v>
      </c>
      <c r="E42" s="51" t="s">
        <v>42</v>
      </c>
      <c r="K42" s="52" t="s">
        <v>43</v>
      </c>
      <c r="L42" s="51">
        <v>1</v>
      </c>
    </row>
    <row r="43" spans="4:13" x14ac:dyDescent="0.25">
      <c r="D43" s="56" t="s">
        <v>44</v>
      </c>
      <c r="E43" s="51" t="s">
        <v>45</v>
      </c>
      <c r="K43" s="52" t="s">
        <v>46</v>
      </c>
      <c r="L43" s="51">
        <v>1</v>
      </c>
    </row>
    <row r="44" spans="4:13" x14ac:dyDescent="0.25">
      <c r="D44" s="56" t="s">
        <v>47</v>
      </c>
      <c r="E44" s="51" t="s">
        <v>42</v>
      </c>
      <c r="K44" s="52" t="s">
        <v>38</v>
      </c>
      <c r="L44" s="51">
        <v>1</v>
      </c>
    </row>
    <row r="45" spans="4:13" x14ac:dyDescent="0.25">
      <c r="D45" s="56" t="s">
        <v>48</v>
      </c>
      <c r="E45" s="51" t="s">
        <v>49</v>
      </c>
      <c r="K45" s="52" t="s">
        <v>41</v>
      </c>
      <c r="L45" s="51">
        <v>1</v>
      </c>
    </row>
    <row r="46" spans="4:13" ht="30" x14ac:dyDescent="0.25">
      <c r="D46" s="56" t="s">
        <v>50</v>
      </c>
      <c r="E46" s="51" t="s">
        <v>42</v>
      </c>
      <c r="H46" s="50" t="s">
        <v>51</v>
      </c>
      <c r="I46" s="69" t="s">
        <v>52</v>
      </c>
      <c r="K46" s="52" t="s">
        <v>44</v>
      </c>
      <c r="M46" s="51">
        <v>1</v>
      </c>
    </row>
    <row r="47" spans="4:13" x14ac:dyDescent="0.25">
      <c r="D47" s="56" t="s">
        <v>53</v>
      </c>
      <c r="E47" s="51" t="s">
        <v>42</v>
      </c>
      <c r="H47" s="52" t="s">
        <v>49</v>
      </c>
      <c r="I47" s="51">
        <v>9</v>
      </c>
      <c r="K47" s="52" t="s">
        <v>54</v>
      </c>
      <c r="L47" s="51">
        <v>1</v>
      </c>
    </row>
    <row r="48" spans="4:13" x14ac:dyDescent="0.25">
      <c r="D48" s="56" t="s">
        <v>55</v>
      </c>
      <c r="E48" s="51" t="s">
        <v>45</v>
      </c>
      <c r="H48" s="52" t="s">
        <v>39</v>
      </c>
      <c r="I48" s="51">
        <v>4</v>
      </c>
      <c r="K48" s="52" t="s">
        <v>56</v>
      </c>
      <c r="M48" s="51">
        <v>5</v>
      </c>
    </row>
    <row r="49" spans="4:13" x14ac:dyDescent="0.25">
      <c r="D49" s="56" t="s">
        <v>57</v>
      </c>
      <c r="E49" s="51" t="s">
        <v>45</v>
      </c>
      <c r="H49" s="52" t="s">
        <v>42</v>
      </c>
      <c r="I49" s="51">
        <v>6</v>
      </c>
      <c r="K49" s="52" t="s">
        <v>47</v>
      </c>
      <c r="L49" s="51">
        <v>1</v>
      </c>
    </row>
    <row r="50" spans="4:13" x14ac:dyDescent="0.25">
      <c r="D50" s="56" t="s">
        <v>58</v>
      </c>
      <c r="E50" s="51" t="s">
        <v>49</v>
      </c>
      <c r="H50" s="52" t="s">
        <v>45</v>
      </c>
      <c r="I50" s="51">
        <v>5</v>
      </c>
      <c r="K50" s="52" t="s">
        <v>59</v>
      </c>
      <c r="L50" s="51">
        <v>1</v>
      </c>
    </row>
    <row r="51" spans="4:13" x14ac:dyDescent="0.25">
      <c r="D51" s="56" t="s">
        <v>60</v>
      </c>
      <c r="E51" s="51" t="s">
        <v>39</v>
      </c>
      <c r="H51" s="52" t="s">
        <v>61</v>
      </c>
      <c r="I51" s="51">
        <v>24</v>
      </c>
      <c r="K51" s="52" t="s">
        <v>48</v>
      </c>
      <c r="L51" s="51">
        <v>1</v>
      </c>
    </row>
    <row r="52" spans="4:13" x14ac:dyDescent="0.25">
      <c r="D52" s="56" t="s">
        <v>62</v>
      </c>
      <c r="E52" s="51" t="s">
        <v>49</v>
      </c>
      <c r="I52"/>
      <c r="K52" s="52" t="s">
        <v>63</v>
      </c>
      <c r="L52" s="51">
        <v>1</v>
      </c>
    </row>
    <row r="53" spans="4:13" x14ac:dyDescent="0.25">
      <c r="D53" s="56" t="s">
        <v>64</v>
      </c>
      <c r="E53" s="51" t="s">
        <v>42</v>
      </c>
      <c r="I53"/>
      <c r="K53" s="52" t="s">
        <v>65</v>
      </c>
      <c r="M53" s="51">
        <v>2</v>
      </c>
    </row>
    <row r="54" spans="4:13" x14ac:dyDescent="0.25">
      <c r="D54" s="56" t="s">
        <v>66</v>
      </c>
      <c r="E54" s="51" t="s">
        <v>49</v>
      </c>
      <c r="I54"/>
      <c r="K54" s="52" t="s">
        <v>67</v>
      </c>
      <c r="M54" s="51">
        <v>2</v>
      </c>
    </row>
    <row r="55" spans="4:13" x14ac:dyDescent="0.25">
      <c r="D55" s="56" t="s">
        <v>68</v>
      </c>
      <c r="E55" s="51" t="s">
        <v>39</v>
      </c>
      <c r="G55"/>
      <c r="H55"/>
      <c r="I55"/>
      <c r="K55" s="52" t="s">
        <v>69</v>
      </c>
      <c r="M55" s="51">
        <v>1</v>
      </c>
    </row>
    <row r="56" spans="4:13" x14ac:dyDescent="0.25">
      <c r="D56" s="56" t="s">
        <v>70</v>
      </c>
      <c r="E56" s="51" t="s">
        <v>42</v>
      </c>
      <c r="G56"/>
      <c r="H56"/>
      <c r="I56"/>
      <c r="K56" s="52" t="s">
        <v>71</v>
      </c>
      <c r="L56" s="51">
        <v>1</v>
      </c>
    </row>
    <row r="57" spans="4:13" x14ac:dyDescent="0.25">
      <c r="D57" s="56" t="s">
        <v>72</v>
      </c>
      <c r="E57" s="51" t="s">
        <v>49</v>
      </c>
      <c r="G57"/>
      <c r="H57"/>
      <c r="I57"/>
      <c r="K57" s="52" t="s">
        <v>73</v>
      </c>
      <c r="L57" s="51">
        <v>1</v>
      </c>
    </row>
    <row r="58" spans="4:13" x14ac:dyDescent="0.25">
      <c r="D58" s="56" t="s">
        <v>74</v>
      </c>
      <c r="E58" s="51" t="s">
        <v>39</v>
      </c>
      <c r="G58"/>
      <c r="H58"/>
      <c r="I58"/>
      <c r="K58" s="52" t="s">
        <v>50</v>
      </c>
      <c r="L58" s="51">
        <v>1</v>
      </c>
    </row>
    <row r="59" spans="4:13" x14ac:dyDescent="0.25">
      <c r="D59" s="56" t="s">
        <v>75</v>
      </c>
      <c r="E59" s="51" t="s">
        <v>49</v>
      </c>
      <c r="G59"/>
      <c r="H59"/>
      <c r="I59"/>
      <c r="K59" s="52" t="s">
        <v>76</v>
      </c>
      <c r="L59" s="51">
        <v>1</v>
      </c>
    </row>
    <row r="60" spans="4:13" x14ac:dyDescent="0.25">
      <c r="D60" s="56" t="s">
        <v>77</v>
      </c>
      <c r="E60" s="51" t="s">
        <v>45</v>
      </c>
      <c r="G60"/>
      <c r="H60"/>
      <c r="I60"/>
      <c r="K60" s="52" t="s">
        <v>78</v>
      </c>
      <c r="M60" s="51">
        <v>1</v>
      </c>
    </row>
    <row r="61" spans="4:13" x14ac:dyDescent="0.25">
      <c r="D61" s="56" t="s">
        <v>79</v>
      </c>
      <c r="E61" s="51" t="s">
        <v>45</v>
      </c>
      <c r="G61"/>
      <c r="H61"/>
      <c r="I61"/>
      <c r="K61" s="52" t="s">
        <v>80</v>
      </c>
      <c r="L61" s="51">
        <v>1</v>
      </c>
    </row>
    <row r="62" spans="4:13" x14ac:dyDescent="0.25">
      <c r="D62" s="56" t="s">
        <v>81</v>
      </c>
      <c r="E62" s="51" t="s">
        <v>49</v>
      </c>
      <c r="G62"/>
      <c r="H62"/>
      <c r="I62"/>
      <c r="K62" s="52" t="s">
        <v>53</v>
      </c>
      <c r="L62" s="51">
        <v>1</v>
      </c>
    </row>
    <row r="63" spans="4:13" x14ac:dyDescent="0.25">
      <c r="D63" s="56" t="s">
        <v>82</v>
      </c>
      <c r="E63" s="51" t="s">
        <v>49</v>
      </c>
      <c r="G63"/>
      <c r="H63"/>
      <c r="I63"/>
      <c r="K63" s="52" t="s">
        <v>55</v>
      </c>
      <c r="M63" s="51">
        <v>1</v>
      </c>
    </row>
    <row r="64" spans="4:13" x14ac:dyDescent="0.25">
      <c r="D64" s="56" t="s">
        <v>83</v>
      </c>
      <c r="E64" s="51" t="s">
        <v>49</v>
      </c>
      <c r="G64"/>
      <c r="H64"/>
      <c r="I64"/>
      <c r="K64" s="52" t="s">
        <v>57</v>
      </c>
      <c r="M64" s="51">
        <v>1</v>
      </c>
    </row>
    <row r="65" spans="7:13" x14ac:dyDescent="0.25">
      <c r="G65"/>
      <c r="H65"/>
      <c r="I65"/>
      <c r="K65" s="52" t="s">
        <v>58</v>
      </c>
      <c r="L65" s="51">
        <v>1</v>
      </c>
    </row>
    <row r="66" spans="7:13" x14ac:dyDescent="0.25">
      <c r="G66"/>
      <c r="H66"/>
      <c r="I66"/>
      <c r="K66" s="52" t="s">
        <v>84</v>
      </c>
      <c r="M66" s="51">
        <v>1</v>
      </c>
    </row>
    <row r="67" spans="7:13" x14ac:dyDescent="0.25">
      <c r="K67" s="52" t="s">
        <v>60</v>
      </c>
      <c r="L67" s="51">
        <v>1</v>
      </c>
    </row>
    <row r="68" spans="7:13" x14ac:dyDescent="0.25">
      <c r="K68" s="52" t="s">
        <v>85</v>
      </c>
      <c r="M68" s="51">
        <v>1</v>
      </c>
    </row>
    <row r="69" spans="7:13" x14ac:dyDescent="0.25">
      <c r="K69" s="52" t="s">
        <v>86</v>
      </c>
      <c r="L69" s="51">
        <v>1</v>
      </c>
    </row>
    <row r="70" spans="7:13" x14ac:dyDescent="0.25">
      <c r="K70" s="52" t="s">
        <v>87</v>
      </c>
      <c r="L70" s="51">
        <v>1</v>
      </c>
    </row>
    <row r="71" spans="7:13" x14ac:dyDescent="0.25">
      <c r="K71" s="52" t="s">
        <v>88</v>
      </c>
      <c r="M71" s="51">
        <v>100</v>
      </c>
    </row>
    <row r="72" spans="7:13" x14ac:dyDescent="0.25">
      <c r="K72" s="52" t="s">
        <v>89</v>
      </c>
      <c r="L72" s="51">
        <v>1</v>
      </c>
    </row>
    <row r="73" spans="7:13" x14ac:dyDescent="0.25">
      <c r="K73" s="52" t="s">
        <v>90</v>
      </c>
      <c r="L73" s="51">
        <v>1</v>
      </c>
    </row>
    <row r="74" spans="7:13" x14ac:dyDescent="0.25">
      <c r="K74" s="52" t="s">
        <v>91</v>
      </c>
      <c r="L74" s="51">
        <v>1</v>
      </c>
    </row>
    <row r="75" spans="7:13" x14ac:dyDescent="0.25">
      <c r="K75" s="52" t="s">
        <v>62</v>
      </c>
      <c r="L75" s="51">
        <v>1</v>
      </c>
    </row>
    <row r="76" spans="7:13" x14ac:dyDescent="0.25">
      <c r="K76" s="52" t="s">
        <v>92</v>
      </c>
      <c r="L76" s="51">
        <v>1</v>
      </c>
    </row>
    <row r="77" spans="7:13" x14ac:dyDescent="0.25">
      <c r="K77" s="52" t="s">
        <v>93</v>
      </c>
      <c r="M77" s="51">
        <v>1</v>
      </c>
    </row>
    <row r="78" spans="7:13" x14ac:dyDescent="0.25">
      <c r="K78" s="52" t="s">
        <v>64</v>
      </c>
      <c r="L78" s="51">
        <v>1</v>
      </c>
    </row>
    <row r="79" spans="7:13" x14ac:dyDescent="0.25">
      <c r="K79" s="52" t="s">
        <v>94</v>
      </c>
      <c r="M79" s="51">
        <v>10</v>
      </c>
    </row>
    <row r="80" spans="7:13" x14ac:dyDescent="0.25">
      <c r="K80" s="52" t="s">
        <v>95</v>
      </c>
      <c r="M80" s="51">
        <v>1</v>
      </c>
    </row>
    <row r="81" spans="11:13" x14ac:dyDescent="0.25">
      <c r="K81" s="52" t="s">
        <v>66</v>
      </c>
      <c r="L81" s="51">
        <v>1</v>
      </c>
    </row>
    <row r="82" spans="11:13" x14ac:dyDescent="0.25">
      <c r="K82" s="52" t="s">
        <v>68</v>
      </c>
      <c r="L82" s="51">
        <v>2</v>
      </c>
    </row>
    <row r="83" spans="11:13" x14ac:dyDescent="0.25">
      <c r="K83" s="52" t="s">
        <v>96</v>
      </c>
      <c r="L83" s="51">
        <v>1</v>
      </c>
    </row>
    <row r="84" spans="11:13" x14ac:dyDescent="0.25">
      <c r="K84" s="52" t="s">
        <v>97</v>
      </c>
      <c r="L84" s="51">
        <v>1</v>
      </c>
    </row>
    <row r="85" spans="11:13" x14ac:dyDescent="0.25">
      <c r="K85" s="52" t="s">
        <v>70</v>
      </c>
      <c r="L85" s="51">
        <v>1</v>
      </c>
    </row>
    <row r="86" spans="11:13" x14ac:dyDescent="0.25">
      <c r="K86" s="52" t="s">
        <v>98</v>
      </c>
      <c r="L86" s="51">
        <v>1</v>
      </c>
    </row>
    <row r="87" spans="11:13" x14ac:dyDescent="0.25">
      <c r="K87" s="52" t="s">
        <v>72</v>
      </c>
      <c r="L87" s="51">
        <v>1</v>
      </c>
    </row>
    <row r="88" spans="11:13" x14ac:dyDescent="0.25">
      <c r="K88" s="52" t="s">
        <v>74</v>
      </c>
      <c r="L88" s="51">
        <v>1</v>
      </c>
    </row>
    <row r="89" spans="11:13" x14ac:dyDescent="0.25">
      <c r="K89" s="52" t="s">
        <v>99</v>
      </c>
      <c r="L89" s="51">
        <v>1</v>
      </c>
    </row>
    <row r="90" spans="11:13" x14ac:dyDescent="0.25">
      <c r="K90" s="52" t="s">
        <v>100</v>
      </c>
      <c r="L90" s="51">
        <v>1</v>
      </c>
    </row>
    <row r="91" spans="11:13" x14ac:dyDescent="0.25">
      <c r="K91" s="52" t="s">
        <v>75</v>
      </c>
      <c r="L91" s="51">
        <v>1</v>
      </c>
    </row>
    <row r="92" spans="11:13" x14ac:dyDescent="0.25">
      <c r="K92" s="52" t="s">
        <v>77</v>
      </c>
      <c r="M92" s="51">
        <v>1</v>
      </c>
    </row>
    <row r="93" spans="11:13" x14ac:dyDescent="0.25">
      <c r="K93" s="52" t="s">
        <v>79</v>
      </c>
      <c r="M93" s="51">
        <v>1</v>
      </c>
    </row>
    <row r="94" spans="11:13" x14ac:dyDescent="0.25">
      <c r="K94" s="52" t="s">
        <v>81</v>
      </c>
      <c r="L94" s="51">
        <v>1</v>
      </c>
    </row>
    <row r="95" spans="11:13" x14ac:dyDescent="0.25">
      <c r="K95" s="52" t="s">
        <v>101</v>
      </c>
      <c r="L95" s="51">
        <v>1</v>
      </c>
    </row>
    <row r="96" spans="11:13" x14ac:dyDescent="0.25">
      <c r="K96" s="52" t="s">
        <v>102</v>
      </c>
      <c r="L96" s="51">
        <v>1</v>
      </c>
    </row>
    <row r="97" spans="11:13" x14ac:dyDescent="0.25">
      <c r="K97" s="52" t="s">
        <v>82</v>
      </c>
      <c r="L97" s="51">
        <v>1</v>
      </c>
    </row>
    <row r="98" spans="11:13" x14ac:dyDescent="0.25">
      <c r="K98" s="52" t="s">
        <v>103</v>
      </c>
      <c r="M98" s="51">
        <v>1</v>
      </c>
    </row>
    <row r="99" spans="11:13" x14ac:dyDescent="0.25">
      <c r="K99" s="52" t="s">
        <v>104</v>
      </c>
      <c r="L99" s="51">
        <v>1</v>
      </c>
    </row>
    <row r="100" spans="11:13" x14ac:dyDescent="0.25">
      <c r="K100" s="52" t="s">
        <v>105</v>
      </c>
      <c r="L100" s="51">
        <v>1</v>
      </c>
    </row>
    <row r="101" spans="11:13" x14ac:dyDescent="0.25">
      <c r="K101" s="52" t="s">
        <v>106</v>
      </c>
      <c r="L101" s="51">
        <v>1</v>
      </c>
      <c r="M101" s="51">
        <v>2</v>
      </c>
    </row>
    <row r="102" spans="11:13" x14ac:dyDescent="0.25">
      <c r="K102" s="52" t="s">
        <v>107</v>
      </c>
      <c r="M102" s="51">
        <v>1</v>
      </c>
    </row>
    <row r="103" spans="11:13" x14ac:dyDescent="0.25">
      <c r="K103" s="52" t="s">
        <v>108</v>
      </c>
      <c r="M103" s="51">
        <v>1.25</v>
      </c>
    </row>
    <row r="104" spans="11:13" x14ac:dyDescent="0.25">
      <c r="K104" s="52" t="s">
        <v>83</v>
      </c>
      <c r="L104" s="51">
        <v>1</v>
      </c>
    </row>
    <row r="105" spans="11:13" x14ac:dyDescent="0.25">
      <c r="K105" s="52" t="s">
        <v>109</v>
      </c>
      <c r="L105" s="51">
        <v>1</v>
      </c>
    </row>
    <row r="106" spans="11:13" x14ac:dyDescent="0.25">
      <c r="K106" s="52" t="s">
        <v>110</v>
      </c>
      <c r="L106" s="51">
        <v>1</v>
      </c>
    </row>
    <row r="107" spans="11:13" x14ac:dyDescent="0.25">
      <c r="K107" s="52" t="s">
        <v>111</v>
      </c>
      <c r="L107" s="51">
        <v>1</v>
      </c>
    </row>
    <row r="108" spans="11:13" x14ac:dyDescent="0.25">
      <c r="K108" s="52" t="s">
        <v>112</v>
      </c>
      <c r="L108" s="51">
        <v>1</v>
      </c>
    </row>
    <row r="109" spans="11:13" x14ac:dyDescent="0.25">
      <c r="K109" s="52" t="s">
        <v>113</v>
      </c>
      <c r="L109" s="51">
        <v>1</v>
      </c>
    </row>
    <row r="110" spans="11:13" x14ac:dyDescent="0.25">
      <c r="K110" s="52" t="s">
        <v>114</v>
      </c>
      <c r="L110" s="51">
        <v>1</v>
      </c>
    </row>
    <row r="111" spans="11:13" x14ac:dyDescent="0.25">
      <c r="K111" s="52" t="s">
        <v>115</v>
      </c>
      <c r="L111" s="51">
        <v>1</v>
      </c>
    </row>
    <row r="112" spans="11:13" x14ac:dyDescent="0.25">
      <c r="K112" s="52" t="s">
        <v>116</v>
      </c>
      <c r="M112" s="51">
        <v>1</v>
      </c>
    </row>
    <row r="113" spans="11:13" x14ac:dyDescent="0.25">
      <c r="K113" s="52" t="s">
        <v>117</v>
      </c>
      <c r="M113" s="51">
        <v>25</v>
      </c>
    </row>
    <row r="114" spans="11:13" x14ac:dyDescent="0.25">
      <c r="K114" s="52" t="s">
        <v>118</v>
      </c>
      <c r="L114" s="51">
        <v>1</v>
      </c>
    </row>
    <row r="115" spans="11:13" x14ac:dyDescent="0.25">
      <c r="K115" s="52" t="s">
        <v>119</v>
      </c>
      <c r="M115" s="51">
        <v>1</v>
      </c>
    </row>
    <row r="116" spans="11:13" x14ac:dyDescent="0.25">
      <c r="K116" s="52" t="s">
        <v>120</v>
      </c>
      <c r="M116" s="51">
        <v>1</v>
      </c>
    </row>
    <row r="117" spans="11:13" x14ac:dyDescent="0.25">
      <c r="K117" s="52" t="s">
        <v>121</v>
      </c>
      <c r="M117" s="51">
        <v>1</v>
      </c>
    </row>
    <row r="118" spans="11:13" x14ac:dyDescent="0.25">
      <c r="K118" s="52" t="s">
        <v>122</v>
      </c>
      <c r="L118" s="51">
        <v>1</v>
      </c>
    </row>
    <row r="119" spans="11:13" x14ac:dyDescent="0.25">
      <c r="K119" s="52" t="s">
        <v>123</v>
      </c>
      <c r="L119" s="51">
        <v>1</v>
      </c>
    </row>
    <row r="120" spans="11:13" x14ac:dyDescent="0.25">
      <c r="K120" s="70" t="s">
        <v>61</v>
      </c>
      <c r="L120" s="71">
        <v>58</v>
      </c>
      <c r="M120" s="71">
        <v>189.25</v>
      </c>
    </row>
  </sheetData>
  <mergeCells count="2">
    <mergeCell ref="D2:G2"/>
    <mergeCell ref="L37:M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BAE9E-B0DD-4858-9004-443B28A6F39E}">
  <dimension ref="E1:F27"/>
  <sheetViews>
    <sheetView workbookViewId="0">
      <selection activeCell="E7" sqref="E7"/>
    </sheetView>
  </sheetViews>
  <sheetFormatPr defaultRowHeight="15" x14ac:dyDescent="0.25"/>
  <cols>
    <col min="5" max="5" width="17.85546875" bestFit="1" customWidth="1"/>
    <col min="6" max="6" width="38.7109375" bestFit="1" customWidth="1"/>
  </cols>
  <sheetData>
    <row r="1" spans="5:6" x14ac:dyDescent="0.25">
      <c r="E1" t="s">
        <v>124</v>
      </c>
    </row>
    <row r="2" spans="5:6" x14ac:dyDescent="0.25">
      <c r="E2" s="57"/>
    </row>
    <row r="3" spans="5:6" x14ac:dyDescent="0.25">
      <c r="E3" s="55" t="s">
        <v>35</v>
      </c>
      <c r="F3" s="55" t="s">
        <v>36</v>
      </c>
    </row>
    <row r="4" spans="5:6" x14ac:dyDescent="0.25">
      <c r="E4" s="56" t="s">
        <v>38</v>
      </c>
      <c r="F4" s="51" t="s">
        <v>39</v>
      </c>
    </row>
    <row r="5" spans="5:6" x14ac:dyDescent="0.25">
      <c r="E5" s="56" t="s">
        <v>41</v>
      </c>
      <c r="F5" s="51" t="s">
        <v>42</v>
      </c>
    </row>
    <row r="6" spans="5:6" x14ac:dyDescent="0.25">
      <c r="E6" s="56" t="s">
        <v>44</v>
      </c>
      <c r="F6" s="51" t="s">
        <v>45</v>
      </c>
    </row>
    <row r="7" spans="5:6" x14ac:dyDescent="0.25">
      <c r="E7" s="56" t="s">
        <v>47</v>
      </c>
      <c r="F7" s="51" t="s">
        <v>42</v>
      </c>
    </row>
    <row r="8" spans="5:6" x14ac:dyDescent="0.25">
      <c r="E8" s="56" t="s">
        <v>48</v>
      </c>
      <c r="F8" s="51" t="s">
        <v>49</v>
      </c>
    </row>
    <row r="9" spans="5:6" x14ac:dyDescent="0.25">
      <c r="E9" s="56" t="s">
        <v>50</v>
      </c>
      <c r="F9" s="51" t="s">
        <v>42</v>
      </c>
    </row>
    <row r="10" spans="5:6" x14ac:dyDescent="0.25">
      <c r="E10" s="56" t="s">
        <v>53</v>
      </c>
      <c r="F10" s="51" t="s">
        <v>42</v>
      </c>
    </row>
    <row r="11" spans="5:6" x14ac:dyDescent="0.25">
      <c r="E11" s="56" t="s">
        <v>55</v>
      </c>
      <c r="F11" s="51" t="s">
        <v>45</v>
      </c>
    </row>
    <row r="12" spans="5:6" x14ac:dyDescent="0.25">
      <c r="E12" s="56" t="s">
        <v>57</v>
      </c>
      <c r="F12" s="51" t="s">
        <v>45</v>
      </c>
    </row>
    <row r="13" spans="5:6" x14ac:dyDescent="0.25">
      <c r="E13" s="56" t="s">
        <v>58</v>
      </c>
      <c r="F13" s="51" t="s">
        <v>49</v>
      </c>
    </row>
    <row r="14" spans="5:6" x14ac:dyDescent="0.25">
      <c r="E14" s="56" t="s">
        <v>60</v>
      </c>
      <c r="F14" s="51" t="s">
        <v>39</v>
      </c>
    </row>
    <row r="15" spans="5:6" x14ac:dyDescent="0.25">
      <c r="E15" s="56" t="s">
        <v>62</v>
      </c>
      <c r="F15" s="51" t="s">
        <v>49</v>
      </c>
    </row>
    <row r="16" spans="5:6" x14ac:dyDescent="0.25">
      <c r="E16" s="56" t="s">
        <v>64</v>
      </c>
      <c r="F16" s="51" t="s">
        <v>42</v>
      </c>
    </row>
    <row r="17" spans="5:6" x14ac:dyDescent="0.25">
      <c r="E17" s="56" t="s">
        <v>66</v>
      </c>
      <c r="F17" s="51" t="s">
        <v>49</v>
      </c>
    </row>
    <row r="18" spans="5:6" x14ac:dyDescent="0.25">
      <c r="E18" s="56" t="s">
        <v>68</v>
      </c>
      <c r="F18" s="51" t="s">
        <v>39</v>
      </c>
    </row>
    <row r="19" spans="5:6" x14ac:dyDescent="0.25">
      <c r="E19" s="56" t="s">
        <v>70</v>
      </c>
      <c r="F19" s="51" t="s">
        <v>42</v>
      </c>
    </row>
    <row r="20" spans="5:6" x14ac:dyDescent="0.25">
      <c r="E20" s="56" t="s">
        <v>72</v>
      </c>
      <c r="F20" s="51" t="s">
        <v>49</v>
      </c>
    </row>
    <row r="21" spans="5:6" x14ac:dyDescent="0.25">
      <c r="E21" s="56" t="s">
        <v>74</v>
      </c>
      <c r="F21" s="51" t="s">
        <v>39</v>
      </c>
    </row>
    <row r="22" spans="5:6" x14ac:dyDescent="0.25">
      <c r="E22" s="56" t="s">
        <v>75</v>
      </c>
      <c r="F22" s="51" t="s">
        <v>49</v>
      </c>
    </row>
    <row r="23" spans="5:6" x14ac:dyDescent="0.25">
      <c r="E23" s="56" t="s">
        <v>77</v>
      </c>
      <c r="F23" s="51" t="s">
        <v>45</v>
      </c>
    </row>
    <row r="24" spans="5:6" x14ac:dyDescent="0.25">
      <c r="E24" s="56" t="s">
        <v>79</v>
      </c>
      <c r="F24" s="51" t="s">
        <v>45</v>
      </c>
    </row>
    <row r="25" spans="5:6" x14ac:dyDescent="0.25">
      <c r="E25" s="56" t="s">
        <v>81</v>
      </c>
      <c r="F25" s="51" t="s">
        <v>49</v>
      </c>
    </row>
    <row r="26" spans="5:6" x14ac:dyDescent="0.25">
      <c r="E26" s="56" t="s">
        <v>82</v>
      </c>
      <c r="F26" s="51" t="s">
        <v>49</v>
      </c>
    </row>
    <row r="27" spans="5:6" x14ac:dyDescent="0.25">
      <c r="E27" s="56" t="s">
        <v>83</v>
      </c>
      <c r="F27" s="51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905A9-A831-486A-81D6-96339BAE4D19}">
  <dimension ref="B1:AN172"/>
  <sheetViews>
    <sheetView workbookViewId="0">
      <selection activeCell="G115" sqref="G115"/>
    </sheetView>
  </sheetViews>
  <sheetFormatPr defaultRowHeight="15" x14ac:dyDescent="0.25"/>
  <cols>
    <col min="1" max="1" width="9.140625" style="51"/>
    <col min="2" max="2" width="15.7109375" style="51" bestFit="1" customWidth="1"/>
    <col min="3" max="3" width="20" style="51" bestFit="1" customWidth="1"/>
    <col min="4" max="4" width="9.85546875" style="51" bestFit="1" customWidth="1"/>
    <col min="5" max="6" width="13.5703125" style="51" bestFit="1" customWidth="1"/>
    <col min="7" max="11" width="9.140625" style="51"/>
    <col min="12" max="12" width="17" style="51" bestFit="1" customWidth="1"/>
    <col min="13" max="13" width="18.5703125" style="51" bestFit="1" customWidth="1"/>
    <col min="14" max="14" width="5" style="51" bestFit="1" customWidth="1"/>
    <col min="15" max="15" width="8.28515625" style="51" bestFit="1" customWidth="1"/>
    <col min="16" max="16" width="13.5703125" style="51" bestFit="1" customWidth="1"/>
    <col min="17" max="17" width="13.85546875" style="51" bestFit="1" customWidth="1"/>
    <col min="18" max="28" width="9.140625" style="51"/>
    <col min="29" max="29" width="42.7109375" style="51" bestFit="1" customWidth="1"/>
    <col min="30" max="30" width="38.7109375" style="51" bestFit="1" customWidth="1"/>
    <col min="31" max="31" width="5" style="51" bestFit="1" customWidth="1"/>
    <col min="32" max="32" width="8.28515625" style="51" bestFit="1" customWidth="1"/>
    <col min="33" max="33" width="13.5703125" style="51" bestFit="1" customWidth="1"/>
    <col min="34" max="34" width="11.140625" style="51" bestFit="1" customWidth="1"/>
    <col min="35" max="35" width="29.28515625" style="51" bestFit="1" customWidth="1"/>
    <col min="36" max="36" width="31" style="51" bestFit="1" customWidth="1"/>
    <col min="37" max="37" width="11.7109375" style="51" bestFit="1" customWidth="1"/>
    <col min="38" max="38" width="44.140625" style="51" bestFit="1" customWidth="1"/>
    <col min="39" max="39" width="14.5703125" style="51" bestFit="1" customWidth="1"/>
    <col min="40" max="40" width="13.5703125" style="51" bestFit="1" customWidth="1"/>
    <col min="41" max="16384" width="9.140625" style="51"/>
  </cols>
  <sheetData>
    <row r="1" spans="2:40" x14ac:dyDescent="0.25">
      <c r="B1" s="129" t="s">
        <v>125</v>
      </c>
      <c r="C1" s="129"/>
      <c r="D1" s="129"/>
      <c r="E1" s="129"/>
      <c r="F1" s="129"/>
      <c r="G1" s="129"/>
      <c r="H1" s="129"/>
      <c r="L1" s="50" t="s">
        <v>4</v>
      </c>
      <c r="M1" s="51" t="s">
        <v>126</v>
      </c>
    </row>
    <row r="2" spans="2:40" x14ac:dyDescent="0.25">
      <c r="H2" s="51" t="s">
        <v>127</v>
      </c>
      <c r="L2"/>
      <c r="M2"/>
      <c r="N2"/>
      <c r="O2"/>
      <c r="R2" s="129" t="s">
        <v>4</v>
      </c>
      <c r="S2" s="129"/>
      <c r="T2" s="54"/>
      <c r="U2" s="129" t="s">
        <v>5</v>
      </c>
      <c r="V2" s="129"/>
      <c r="W2" s="129" t="s">
        <v>6</v>
      </c>
      <c r="X2" s="129"/>
      <c r="Y2" s="129" t="s">
        <v>7</v>
      </c>
      <c r="Z2" s="129"/>
    </row>
    <row r="3" spans="2:40" x14ac:dyDescent="0.25">
      <c r="B3" s="50" t="s">
        <v>128</v>
      </c>
      <c r="C3" s="51" t="s">
        <v>129</v>
      </c>
      <c r="L3" s="50" t="s">
        <v>128</v>
      </c>
      <c r="M3" s="51" t="s">
        <v>130</v>
      </c>
      <c r="N3"/>
      <c r="O3"/>
      <c r="P3"/>
      <c r="Q3" s="51" t="s">
        <v>131</v>
      </c>
      <c r="R3" s="51" t="s">
        <v>9</v>
      </c>
      <c r="S3" s="51" t="s">
        <v>27</v>
      </c>
      <c r="T3" s="51" t="s">
        <v>132</v>
      </c>
      <c r="U3" s="51" t="s">
        <v>9</v>
      </c>
      <c r="V3" s="51" t="s">
        <v>27</v>
      </c>
      <c r="W3" s="51" t="s">
        <v>9</v>
      </c>
      <c r="X3" s="51" t="s">
        <v>27</v>
      </c>
      <c r="Y3" s="51" t="s">
        <v>9</v>
      </c>
      <c r="Z3" s="51" t="s">
        <v>27</v>
      </c>
    </row>
    <row r="4" spans="2:40" x14ac:dyDescent="0.25">
      <c r="B4" s="52" t="s">
        <v>31</v>
      </c>
      <c r="C4" s="51">
        <v>0</v>
      </c>
      <c r="L4" s="52" t="s">
        <v>34</v>
      </c>
      <c r="M4" s="51">
        <v>2</v>
      </c>
      <c r="N4"/>
      <c r="O4"/>
      <c r="P4"/>
      <c r="Q4" s="52" t="s">
        <v>38</v>
      </c>
      <c r="R4" s="51">
        <v>1</v>
      </c>
      <c r="S4" s="51">
        <v>0</v>
      </c>
      <c r="T4" s="53">
        <f t="shared" ref="T4:T35" si="0">S4/R4</f>
        <v>0</v>
      </c>
    </row>
    <row r="5" spans="2:40" x14ac:dyDescent="0.25">
      <c r="B5" s="52" t="s">
        <v>29</v>
      </c>
      <c r="C5" s="51">
        <v>7</v>
      </c>
      <c r="F5" s="51" t="s">
        <v>133</v>
      </c>
      <c r="L5" s="52" t="s">
        <v>37</v>
      </c>
      <c r="M5" s="51">
        <v>15</v>
      </c>
      <c r="N5"/>
      <c r="O5"/>
      <c r="P5"/>
      <c r="Q5" s="52" t="s">
        <v>41</v>
      </c>
      <c r="R5" s="51">
        <v>1</v>
      </c>
      <c r="S5" s="51">
        <v>0</v>
      </c>
      <c r="T5" s="53">
        <f t="shared" si="0"/>
        <v>0</v>
      </c>
      <c r="AC5" s="50" t="s">
        <v>134</v>
      </c>
      <c r="AD5" s="51" t="s">
        <v>126</v>
      </c>
    </row>
    <row r="6" spans="2:40" x14ac:dyDescent="0.25">
      <c r="B6" s="52" t="s">
        <v>61</v>
      </c>
      <c r="C6" s="51">
        <v>7</v>
      </c>
      <c r="F6" s="51" t="s">
        <v>9</v>
      </c>
      <c r="G6" s="51" t="s">
        <v>27</v>
      </c>
      <c r="L6" s="52" t="s">
        <v>40</v>
      </c>
      <c r="M6" s="51">
        <v>1</v>
      </c>
      <c r="N6"/>
      <c r="O6"/>
      <c r="P6"/>
      <c r="Q6" s="52" t="s">
        <v>44</v>
      </c>
      <c r="R6" s="51">
        <v>1</v>
      </c>
      <c r="S6" s="51">
        <v>0</v>
      </c>
      <c r="T6" s="53">
        <f t="shared" si="0"/>
        <v>0</v>
      </c>
    </row>
    <row r="7" spans="2:40" x14ac:dyDescent="0.25">
      <c r="E7" s="51" t="s">
        <v>4</v>
      </c>
      <c r="F7" s="51">
        <v>247.25</v>
      </c>
      <c r="G7" s="51">
        <v>195</v>
      </c>
      <c r="H7" s="53">
        <f>G7/F7</f>
        <v>0.788675429726997</v>
      </c>
      <c r="L7" s="52" t="s">
        <v>43</v>
      </c>
      <c r="M7" s="51">
        <v>1</v>
      </c>
      <c r="N7"/>
      <c r="O7"/>
      <c r="P7"/>
      <c r="Q7" s="52" t="s">
        <v>47</v>
      </c>
      <c r="R7" s="51">
        <v>1</v>
      </c>
      <c r="S7" s="51">
        <v>0</v>
      </c>
      <c r="T7" s="53">
        <f t="shared" si="0"/>
        <v>0</v>
      </c>
      <c r="AK7"/>
      <c r="AL7"/>
      <c r="AM7"/>
      <c r="AN7"/>
    </row>
    <row r="8" spans="2:40" x14ac:dyDescent="0.25">
      <c r="E8" s="51" t="s">
        <v>5</v>
      </c>
      <c r="F8" s="51">
        <v>4</v>
      </c>
      <c r="G8" s="51">
        <v>1</v>
      </c>
      <c r="H8" s="53">
        <f t="shared" ref="H8:H10" si="1">G8/F8</f>
        <v>0.25</v>
      </c>
      <c r="L8" s="52" t="s">
        <v>46</v>
      </c>
      <c r="M8" s="51">
        <v>1</v>
      </c>
      <c r="N8"/>
      <c r="O8"/>
      <c r="P8"/>
      <c r="Q8" s="52" t="s">
        <v>48</v>
      </c>
      <c r="R8" s="51">
        <v>1</v>
      </c>
      <c r="S8" s="51">
        <v>0</v>
      </c>
      <c r="T8" s="53">
        <f t="shared" si="0"/>
        <v>0</v>
      </c>
      <c r="AC8" s="50" t="s">
        <v>35</v>
      </c>
      <c r="AD8" s="50" t="s">
        <v>36</v>
      </c>
      <c r="AK8"/>
      <c r="AL8"/>
      <c r="AM8"/>
      <c r="AN8"/>
    </row>
    <row r="9" spans="2:40" x14ac:dyDescent="0.25">
      <c r="E9" s="51" t="s">
        <v>6</v>
      </c>
      <c r="F9" s="51">
        <v>5</v>
      </c>
      <c r="G9" s="51">
        <v>5</v>
      </c>
      <c r="H9" s="53">
        <f t="shared" si="1"/>
        <v>1</v>
      </c>
      <c r="L9" s="52" t="s">
        <v>38</v>
      </c>
      <c r="N9"/>
      <c r="O9"/>
      <c r="P9"/>
      <c r="Q9" s="52" t="s">
        <v>50</v>
      </c>
      <c r="R9" s="51">
        <v>1</v>
      </c>
      <c r="S9" s="51">
        <v>0</v>
      </c>
      <c r="T9" s="53">
        <f t="shared" si="0"/>
        <v>0</v>
      </c>
      <c r="AC9" s="51" t="s">
        <v>38</v>
      </c>
      <c r="AD9" s="51" t="s">
        <v>39</v>
      </c>
      <c r="AK9"/>
      <c r="AL9"/>
      <c r="AM9"/>
      <c r="AN9"/>
    </row>
    <row r="10" spans="2:40" x14ac:dyDescent="0.25">
      <c r="E10" s="51" t="s">
        <v>7</v>
      </c>
      <c r="F10" s="51">
        <v>7</v>
      </c>
      <c r="G10" s="51">
        <v>7</v>
      </c>
      <c r="H10" s="53">
        <f t="shared" si="1"/>
        <v>1</v>
      </c>
      <c r="L10" s="52" t="s">
        <v>41</v>
      </c>
      <c r="N10"/>
      <c r="O10"/>
      <c r="P10"/>
      <c r="Q10" s="52" t="s">
        <v>53</v>
      </c>
      <c r="R10" s="51">
        <v>1</v>
      </c>
      <c r="S10" s="51">
        <v>0</v>
      </c>
      <c r="T10" s="53">
        <f t="shared" si="0"/>
        <v>0</v>
      </c>
      <c r="AC10" s="51" t="s">
        <v>41</v>
      </c>
      <c r="AD10" s="51" t="s">
        <v>42</v>
      </c>
      <c r="AK10"/>
      <c r="AL10"/>
      <c r="AM10"/>
      <c r="AN10"/>
    </row>
    <row r="11" spans="2:40" x14ac:dyDescent="0.25">
      <c r="L11" s="52" t="s">
        <v>44</v>
      </c>
      <c r="N11"/>
      <c r="O11"/>
      <c r="P11"/>
      <c r="Q11" s="52" t="s">
        <v>55</v>
      </c>
      <c r="R11" s="51">
        <v>1</v>
      </c>
      <c r="S11" s="51">
        <v>0</v>
      </c>
      <c r="T11" s="53">
        <f t="shared" si="0"/>
        <v>0</v>
      </c>
      <c r="AC11" s="51" t="s">
        <v>44</v>
      </c>
      <c r="AD11" s="51" t="s">
        <v>45</v>
      </c>
      <c r="AK11"/>
      <c r="AL11"/>
      <c r="AM11"/>
      <c r="AN11"/>
    </row>
    <row r="12" spans="2:40" x14ac:dyDescent="0.25">
      <c r="L12" s="52" t="s">
        <v>54</v>
      </c>
      <c r="M12" s="51">
        <v>2</v>
      </c>
      <c r="N12"/>
      <c r="O12"/>
      <c r="P12"/>
      <c r="Q12" s="52" t="s">
        <v>57</v>
      </c>
      <c r="R12" s="51">
        <v>1</v>
      </c>
      <c r="S12" s="51">
        <v>0</v>
      </c>
      <c r="T12" s="53">
        <f t="shared" si="0"/>
        <v>0</v>
      </c>
      <c r="AC12" s="51" t="s">
        <v>47</v>
      </c>
      <c r="AD12" s="51" t="s">
        <v>42</v>
      </c>
      <c r="AK12"/>
      <c r="AL12"/>
      <c r="AM12"/>
      <c r="AN12"/>
    </row>
    <row r="13" spans="2:40" x14ac:dyDescent="0.25">
      <c r="L13" s="52" t="s">
        <v>56</v>
      </c>
      <c r="M13" s="51">
        <v>5</v>
      </c>
      <c r="N13"/>
      <c r="O13"/>
      <c r="P13"/>
      <c r="Q13" s="52" t="s">
        <v>58</v>
      </c>
      <c r="R13" s="51">
        <v>1</v>
      </c>
      <c r="S13" s="51">
        <v>0</v>
      </c>
      <c r="T13" s="53">
        <f t="shared" si="0"/>
        <v>0</v>
      </c>
      <c r="AC13" s="51" t="s">
        <v>48</v>
      </c>
      <c r="AD13" s="51" t="s">
        <v>49</v>
      </c>
      <c r="AK13"/>
      <c r="AL13"/>
      <c r="AM13"/>
      <c r="AN13"/>
    </row>
    <row r="14" spans="2:40" x14ac:dyDescent="0.25">
      <c r="L14" s="52" t="s">
        <v>47</v>
      </c>
      <c r="N14"/>
      <c r="O14"/>
      <c r="P14"/>
      <c r="Q14" s="52" t="s">
        <v>62</v>
      </c>
      <c r="R14" s="51">
        <v>1</v>
      </c>
      <c r="S14" s="51">
        <v>0</v>
      </c>
      <c r="T14" s="53">
        <f t="shared" si="0"/>
        <v>0</v>
      </c>
      <c r="AC14" s="51" t="s">
        <v>50</v>
      </c>
      <c r="AD14" s="51" t="s">
        <v>42</v>
      </c>
      <c r="AK14"/>
      <c r="AL14"/>
      <c r="AM14"/>
      <c r="AN14"/>
    </row>
    <row r="15" spans="2:40" x14ac:dyDescent="0.25">
      <c r="L15" s="52" t="s">
        <v>59</v>
      </c>
      <c r="M15" s="51">
        <v>1</v>
      </c>
      <c r="N15"/>
      <c r="O15"/>
      <c r="P15"/>
      <c r="Q15" s="52" t="s">
        <v>64</v>
      </c>
      <c r="R15" s="51">
        <v>1</v>
      </c>
      <c r="S15" s="51">
        <v>0</v>
      </c>
      <c r="T15" s="53">
        <f t="shared" si="0"/>
        <v>0</v>
      </c>
      <c r="AC15" s="51" t="s">
        <v>53</v>
      </c>
      <c r="AD15" s="51" t="s">
        <v>42</v>
      </c>
      <c r="AK15"/>
      <c r="AL15"/>
      <c r="AM15"/>
      <c r="AN15"/>
    </row>
    <row r="16" spans="2:40" x14ac:dyDescent="0.25">
      <c r="L16" s="52" t="s">
        <v>48</v>
      </c>
      <c r="N16"/>
      <c r="O16"/>
      <c r="P16"/>
      <c r="Q16" s="52" t="s">
        <v>66</v>
      </c>
      <c r="R16" s="51">
        <v>1</v>
      </c>
      <c r="S16" s="51">
        <v>0</v>
      </c>
      <c r="T16" s="53">
        <f t="shared" si="0"/>
        <v>0</v>
      </c>
      <c r="AC16" s="51" t="s">
        <v>55</v>
      </c>
      <c r="AD16" s="51" t="s">
        <v>45</v>
      </c>
      <c r="AK16"/>
      <c r="AL16"/>
      <c r="AM16"/>
      <c r="AN16"/>
    </row>
    <row r="17" spans="2:40" x14ac:dyDescent="0.25">
      <c r="B17" s="50" t="s">
        <v>129</v>
      </c>
      <c r="C17" s="50" t="s">
        <v>135</v>
      </c>
      <c r="L17" s="52" t="s">
        <v>63</v>
      </c>
      <c r="M17" s="51">
        <v>1</v>
      </c>
      <c r="N17"/>
      <c r="O17"/>
      <c r="P17"/>
      <c r="Q17" s="52" t="s">
        <v>70</v>
      </c>
      <c r="R17" s="51">
        <v>1</v>
      </c>
      <c r="S17" s="51">
        <v>0</v>
      </c>
      <c r="T17" s="53">
        <f t="shared" si="0"/>
        <v>0</v>
      </c>
      <c r="AC17" s="51" t="s">
        <v>57</v>
      </c>
      <c r="AD17" s="51" t="s">
        <v>45</v>
      </c>
      <c r="AK17"/>
      <c r="AL17"/>
      <c r="AM17"/>
      <c r="AN17"/>
    </row>
    <row r="18" spans="2:40" x14ac:dyDescent="0.25">
      <c r="B18" s="50" t="s">
        <v>128</v>
      </c>
      <c r="C18" s="51" t="s">
        <v>31</v>
      </c>
      <c r="D18" s="51" t="s">
        <v>29</v>
      </c>
      <c r="E18" s="51" t="s">
        <v>136</v>
      </c>
      <c r="F18" s="51" t="s">
        <v>61</v>
      </c>
      <c r="L18" s="52" t="s">
        <v>65</v>
      </c>
      <c r="M18" s="51">
        <v>2</v>
      </c>
      <c r="N18"/>
      <c r="O18"/>
      <c r="P18"/>
      <c r="Q18" s="52" t="s">
        <v>72</v>
      </c>
      <c r="R18" s="51">
        <v>1</v>
      </c>
      <c r="S18" s="51">
        <v>0</v>
      </c>
      <c r="T18" s="53">
        <f t="shared" si="0"/>
        <v>0</v>
      </c>
      <c r="AC18" s="51" t="s">
        <v>58</v>
      </c>
      <c r="AD18" s="51" t="s">
        <v>49</v>
      </c>
      <c r="AK18"/>
      <c r="AL18"/>
      <c r="AM18"/>
      <c r="AN18"/>
    </row>
    <row r="19" spans="2:40" x14ac:dyDescent="0.25">
      <c r="B19" s="52" t="s">
        <v>10</v>
      </c>
      <c r="C19" s="51">
        <v>0</v>
      </c>
      <c r="F19" s="51">
        <v>0</v>
      </c>
      <c r="L19" s="52" t="s">
        <v>67</v>
      </c>
      <c r="M19" s="51">
        <v>2</v>
      </c>
      <c r="N19"/>
      <c r="O19"/>
      <c r="P19"/>
      <c r="Q19" s="52" t="s">
        <v>75</v>
      </c>
      <c r="R19" s="51">
        <v>1</v>
      </c>
      <c r="S19" s="51">
        <v>0</v>
      </c>
      <c r="T19" s="53">
        <f t="shared" si="0"/>
        <v>0</v>
      </c>
      <c r="AC19" s="51" t="s">
        <v>60</v>
      </c>
      <c r="AD19" s="51" t="s">
        <v>39</v>
      </c>
      <c r="AK19"/>
      <c r="AL19"/>
      <c r="AM19"/>
      <c r="AN19"/>
    </row>
    <row r="20" spans="2:40" x14ac:dyDescent="0.25">
      <c r="B20" s="52" t="s">
        <v>15</v>
      </c>
      <c r="C20" s="51">
        <v>0</v>
      </c>
      <c r="D20" s="51">
        <v>7</v>
      </c>
      <c r="F20" s="51">
        <v>7</v>
      </c>
      <c r="L20" s="52" t="s">
        <v>69</v>
      </c>
      <c r="M20" s="51">
        <v>1</v>
      </c>
      <c r="N20"/>
      <c r="O20"/>
      <c r="P20"/>
      <c r="Q20" s="52" t="s">
        <v>77</v>
      </c>
      <c r="R20" s="51">
        <v>1</v>
      </c>
      <c r="S20" s="51">
        <v>0</v>
      </c>
      <c r="T20" s="53">
        <f t="shared" si="0"/>
        <v>0</v>
      </c>
      <c r="AC20" s="51" t="s">
        <v>62</v>
      </c>
      <c r="AD20" s="51" t="s">
        <v>49</v>
      </c>
      <c r="AK20"/>
      <c r="AL20"/>
      <c r="AM20"/>
      <c r="AN20"/>
    </row>
    <row r="21" spans="2:40" x14ac:dyDescent="0.25">
      <c r="B21" s="52" t="s">
        <v>16</v>
      </c>
      <c r="C21" s="51">
        <v>0</v>
      </c>
      <c r="F21" s="51">
        <v>0</v>
      </c>
      <c r="L21" s="52" t="s">
        <v>71</v>
      </c>
      <c r="M21" s="51">
        <v>1</v>
      </c>
      <c r="N21"/>
      <c r="O21"/>
      <c r="P21"/>
      <c r="Q21" s="52" t="s">
        <v>79</v>
      </c>
      <c r="R21" s="51">
        <v>1</v>
      </c>
      <c r="S21" s="51">
        <v>0</v>
      </c>
      <c r="T21" s="53">
        <f t="shared" si="0"/>
        <v>0</v>
      </c>
      <c r="AC21" s="51" t="s">
        <v>64</v>
      </c>
      <c r="AD21" s="51" t="s">
        <v>42</v>
      </c>
      <c r="AK21"/>
      <c r="AL21"/>
      <c r="AM21"/>
      <c r="AN21"/>
    </row>
    <row r="22" spans="2:40" x14ac:dyDescent="0.25">
      <c r="B22" s="52" t="s">
        <v>17</v>
      </c>
      <c r="C22" s="51">
        <v>0</v>
      </c>
      <c r="F22" s="51">
        <v>0</v>
      </c>
      <c r="L22" s="52" t="s">
        <v>73</v>
      </c>
      <c r="M22" s="51">
        <v>1</v>
      </c>
      <c r="N22"/>
      <c r="O22"/>
      <c r="P22"/>
      <c r="Q22" s="52" t="s">
        <v>81</v>
      </c>
      <c r="R22" s="51">
        <v>1</v>
      </c>
      <c r="S22" s="51">
        <v>0</v>
      </c>
      <c r="T22" s="53">
        <f t="shared" si="0"/>
        <v>0</v>
      </c>
      <c r="AC22" s="51" t="s">
        <v>66</v>
      </c>
      <c r="AD22" s="51" t="s">
        <v>49</v>
      </c>
      <c r="AK22"/>
      <c r="AL22"/>
      <c r="AM22"/>
      <c r="AN22"/>
    </row>
    <row r="23" spans="2:40" x14ac:dyDescent="0.25">
      <c r="B23" s="52" t="s">
        <v>61</v>
      </c>
      <c r="C23" s="51">
        <v>0</v>
      </c>
      <c r="D23" s="51">
        <v>7</v>
      </c>
      <c r="F23" s="51">
        <v>7</v>
      </c>
      <c r="L23" s="52" t="s">
        <v>50</v>
      </c>
      <c r="N23"/>
      <c r="O23"/>
      <c r="P23"/>
      <c r="Q23" s="52" t="s">
        <v>82</v>
      </c>
      <c r="R23" s="51">
        <v>1</v>
      </c>
      <c r="S23" s="51">
        <v>0</v>
      </c>
      <c r="T23" s="53">
        <f t="shared" si="0"/>
        <v>0</v>
      </c>
      <c r="AC23" s="51" t="s">
        <v>68</v>
      </c>
      <c r="AD23" s="51" t="s">
        <v>39</v>
      </c>
      <c r="AK23"/>
      <c r="AL23"/>
      <c r="AM23"/>
      <c r="AN23"/>
    </row>
    <row r="24" spans="2:40" x14ac:dyDescent="0.25">
      <c r="L24" s="52" t="s">
        <v>76</v>
      </c>
      <c r="M24" s="51">
        <v>1</v>
      </c>
      <c r="N24"/>
      <c r="O24"/>
      <c r="P24"/>
      <c r="Q24" s="52" t="s">
        <v>83</v>
      </c>
      <c r="R24" s="51">
        <v>1</v>
      </c>
      <c r="S24" s="51">
        <v>0</v>
      </c>
      <c r="T24" s="53">
        <f t="shared" si="0"/>
        <v>0</v>
      </c>
      <c r="AC24" s="51" t="s">
        <v>70</v>
      </c>
      <c r="AD24" s="51" t="s">
        <v>42</v>
      </c>
      <c r="AK24"/>
      <c r="AL24"/>
      <c r="AM24"/>
      <c r="AN24"/>
    </row>
    <row r="25" spans="2:40" x14ac:dyDescent="0.25">
      <c r="L25" s="52" t="s">
        <v>78</v>
      </c>
      <c r="M25" s="51">
        <v>1</v>
      </c>
      <c r="N25"/>
      <c r="O25"/>
      <c r="P25"/>
      <c r="Q25" s="52" t="s">
        <v>37</v>
      </c>
      <c r="R25" s="51">
        <v>25</v>
      </c>
      <c r="S25" s="51">
        <v>15</v>
      </c>
      <c r="T25" s="53">
        <f t="shared" si="0"/>
        <v>0.6</v>
      </c>
      <c r="Y25" s="51">
        <v>1</v>
      </c>
      <c r="Z25" s="51">
        <v>1</v>
      </c>
      <c r="AC25" s="51" t="s">
        <v>72</v>
      </c>
      <c r="AD25" s="51" t="s">
        <v>49</v>
      </c>
      <c r="AK25"/>
      <c r="AL25"/>
      <c r="AM25"/>
      <c r="AN25"/>
    </row>
    <row r="26" spans="2:40" x14ac:dyDescent="0.25">
      <c r="L26" s="52" t="s">
        <v>80</v>
      </c>
      <c r="M26" s="51">
        <v>1</v>
      </c>
      <c r="N26"/>
      <c r="O26"/>
      <c r="P26"/>
      <c r="Q26" s="52" t="s">
        <v>88</v>
      </c>
      <c r="R26" s="51">
        <v>100</v>
      </c>
      <c r="S26" s="51">
        <v>80</v>
      </c>
      <c r="T26" s="53">
        <f t="shared" si="0"/>
        <v>0.8</v>
      </c>
      <c r="Y26" s="51">
        <v>1</v>
      </c>
      <c r="Z26" s="51">
        <v>1</v>
      </c>
      <c r="AC26" s="51" t="s">
        <v>74</v>
      </c>
      <c r="AD26" s="51" t="s">
        <v>39</v>
      </c>
      <c r="AK26"/>
      <c r="AL26"/>
      <c r="AM26"/>
      <c r="AN26"/>
    </row>
    <row r="27" spans="2:40" x14ac:dyDescent="0.25">
      <c r="B27" s="50" t="s">
        <v>4</v>
      </c>
      <c r="C27" s="51" t="s">
        <v>126</v>
      </c>
      <c r="L27" s="52" t="s">
        <v>53</v>
      </c>
      <c r="N27"/>
      <c r="O27"/>
      <c r="P27"/>
      <c r="Q27" s="52" t="s">
        <v>108</v>
      </c>
      <c r="R27" s="51">
        <v>1.25</v>
      </c>
      <c r="S27" s="51">
        <v>1</v>
      </c>
      <c r="T27" s="53">
        <f t="shared" si="0"/>
        <v>0.8</v>
      </c>
      <c r="AC27" s="51" t="s">
        <v>75</v>
      </c>
      <c r="AD27" s="51" t="s">
        <v>49</v>
      </c>
      <c r="AK27"/>
      <c r="AL27"/>
      <c r="AM27"/>
      <c r="AN27"/>
    </row>
    <row r="28" spans="2:40" x14ac:dyDescent="0.25">
      <c r="F28" s="51" t="s">
        <v>25</v>
      </c>
      <c r="G28" s="51">
        <v>27</v>
      </c>
      <c r="L28" s="52" t="s">
        <v>55</v>
      </c>
      <c r="N28"/>
      <c r="O28"/>
      <c r="P28"/>
      <c r="Q28" s="52" t="s">
        <v>34</v>
      </c>
      <c r="R28" s="51">
        <v>2</v>
      </c>
      <c r="S28" s="51">
        <v>2</v>
      </c>
      <c r="T28" s="53">
        <f t="shared" si="0"/>
        <v>1</v>
      </c>
      <c r="AC28" s="51" t="s">
        <v>77</v>
      </c>
      <c r="AD28" s="51" t="s">
        <v>45</v>
      </c>
      <c r="AK28"/>
      <c r="AL28"/>
      <c r="AM28"/>
      <c r="AN28"/>
    </row>
    <row r="29" spans="2:40" x14ac:dyDescent="0.25">
      <c r="B29" s="50" t="s">
        <v>130</v>
      </c>
      <c r="C29" s="50" t="s">
        <v>135</v>
      </c>
      <c r="F29" s="51" t="s">
        <v>30</v>
      </c>
      <c r="G29" s="51">
        <v>58</v>
      </c>
      <c r="L29" s="52" t="s">
        <v>57</v>
      </c>
      <c r="N29"/>
      <c r="O29"/>
      <c r="P29"/>
      <c r="Q29" s="52" t="s">
        <v>40</v>
      </c>
      <c r="R29" s="51">
        <v>1</v>
      </c>
      <c r="S29" s="51">
        <v>1</v>
      </c>
      <c r="T29" s="53">
        <f t="shared" si="0"/>
        <v>1</v>
      </c>
      <c r="AC29" s="51" t="s">
        <v>79</v>
      </c>
      <c r="AD29" s="51" t="s">
        <v>45</v>
      </c>
      <c r="AK29"/>
      <c r="AL29"/>
      <c r="AM29"/>
      <c r="AN29"/>
    </row>
    <row r="30" spans="2:40" x14ac:dyDescent="0.25">
      <c r="B30" s="50" t="s">
        <v>128</v>
      </c>
      <c r="C30" s="51" t="s">
        <v>31</v>
      </c>
      <c r="D30" s="51" t="s">
        <v>29</v>
      </c>
      <c r="E30" s="51" t="s">
        <v>61</v>
      </c>
      <c r="L30" s="52" t="s">
        <v>58</v>
      </c>
      <c r="N30"/>
      <c r="O30"/>
      <c r="P30"/>
      <c r="Q30" s="52" t="s">
        <v>43</v>
      </c>
      <c r="R30" s="51">
        <v>1</v>
      </c>
      <c r="S30" s="51">
        <v>1</v>
      </c>
      <c r="T30" s="53">
        <f t="shared" si="0"/>
        <v>1</v>
      </c>
      <c r="AC30" s="51" t="s">
        <v>81</v>
      </c>
      <c r="AD30" s="51" t="s">
        <v>49</v>
      </c>
      <c r="AK30"/>
      <c r="AL30"/>
      <c r="AM30"/>
      <c r="AN30"/>
    </row>
    <row r="31" spans="2:40" x14ac:dyDescent="0.25">
      <c r="B31" s="52" t="s">
        <v>34</v>
      </c>
      <c r="C31" s="51">
        <v>2</v>
      </c>
      <c r="E31" s="51">
        <v>2</v>
      </c>
      <c r="L31" s="52" t="s">
        <v>84</v>
      </c>
      <c r="M31" s="51">
        <v>1</v>
      </c>
      <c r="N31"/>
      <c r="O31"/>
      <c r="P31"/>
      <c r="Q31" s="52" t="s">
        <v>46</v>
      </c>
      <c r="R31" s="51">
        <v>1</v>
      </c>
      <c r="S31" s="51">
        <v>1</v>
      </c>
      <c r="T31" s="53">
        <f t="shared" si="0"/>
        <v>1</v>
      </c>
      <c r="AC31" s="51" t="s">
        <v>82</v>
      </c>
      <c r="AD31" s="51" t="s">
        <v>49</v>
      </c>
      <c r="AK31"/>
      <c r="AL31"/>
      <c r="AM31"/>
      <c r="AN31"/>
    </row>
    <row r="32" spans="2:40" x14ac:dyDescent="0.25">
      <c r="B32" s="52" t="s">
        <v>37</v>
      </c>
      <c r="D32" s="51">
        <v>25</v>
      </c>
      <c r="E32" s="51">
        <v>25</v>
      </c>
      <c r="L32" s="52" t="s">
        <v>60</v>
      </c>
      <c r="M32" s="51">
        <v>1</v>
      </c>
      <c r="N32"/>
      <c r="O32"/>
      <c r="P32"/>
      <c r="Q32" s="52" t="s">
        <v>56</v>
      </c>
      <c r="R32" s="51">
        <v>5</v>
      </c>
      <c r="S32" s="51">
        <v>5</v>
      </c>
      <c r="T32" s="53">
        <f t="shared" si="0"/>
        <v>1</v>
      </c>
      <c r="AC32" s="51" t="s">
        <v>83</v>
      </c>
      <c r="AD32" s="51" t="s">
        <v>49</v>
      </c>
      <c r="AK32"/>
      <c r="AL32"/>
      <c r="AM32"/>
      <c r="AN32"/>
    </row>
    <row r="33" spans="2:40" x14ac:dyDescent="0.25">
      <c r="B33" s="52" t="s">
        <v>40</v>
      </c>
      <c r="C33" s="51">
        <v>1</v>
      </c>
      <c r="E33" s="51">
        <v>1</v>
      </c>
      <c r="L33" s="52" t="s">
        <v>85</v>
      </c>
      <c r="M33" s="51">
        <v>1</v>
      </c>
      <c r="N33"/>
      <c r="O33"/>
      <c r="P33"/>
      <c r="Q33" s="52" t="s">
        <v>59</v>
      </c>
      <c r="R33" s="51">
        <v>1</v>
      </c>
      <c r="S33" s="51">
        <v>1</v>
      </c>
      <c r="T33" s="53">
        <f t="shared" si="0"/>
        <v>1</v>
      </c>
      <c r="AC33" s="51" t="s">
        <v>61</v>
      </c>
      <c r="AK33"/>
      <c r="AL33"/>
      <c r="AM33"/>
      <c r="AN33"/>
    </row>
    <row r="34" spans="2:40" x14ac:dyDescent="0.25">
      <c r="B34" s="52" t="s">
        <v>43</v>
      </c>
      <c r="C34" s="51">
        <v>1</v>
      </c>
      <c r="E34" s="51">
        <v>1</v>
      </c>
      <c r="L34" s="52" t="s">
        <v>86</v>
      </c>
      <c r="M34" s="51">
        <v>1</v>
      </c>
      <c r="N34"/>
      <c r="O34"/>
      <c r="P34"/>
      <c r="Q34" s="52" t="s">
        <v>63</v>
      </c>
      <c r="R34" s="51">
        <v>1</v>
      </c>
      <c r="S34" s="51">
        <v>1</v>
      </c>
      <c r="T34" s="53">
        <f t="shared" si="0"/>
        <v>1</v>
      </c>
      <c r="AC34"/>
      <c r="AD34"/>
      <c r="AE34"/>
      <c r="AF34"/>
      <c r="AG34"/>
      <c r="AH34"/>
      <c r="AI34"/>
      <c r="AJ34"/>
      <c r="AK34"/>
      <c r="AL34"/>
      <c r="AM34"/>
      <c r="AN34"/>
    </row>
    <row r="35" spans="2:40" x14ac:dyDescent="0.25">
      <c r="B35" s="52" t="s">
        <v>46</v>
      </c>
      <c r="C35" s="51">
        <v>1</v>
      </c>
      <c r="E35" s="51">
        <v>1</v>
      </c>
      <c r="L35" s="52" t="s">
        <v>87</v>
      </c>
      <c r="M35" s="51">
        <v>1</v>
      </c>
      <c r="N35"/>
      <c r="O35"/>
      <c r="P35"/>
      <c r="Q35" s="52" t="s">
        <v>65</v>
      </c>
      <c r="R35" s="51">
        <v>2</v>
      </c>
      <c r="S35" s="51">
        <v>2</v>
      </c>
      <c r="T35" s="53">
        <f t="shared" si="0"/>
        <v>1</v>
      </c>
      <c r="W35" s="51">
        <v>1</v>
      </c>
      <c r="X35" s="51">
        <v>1</v>
      </c>
      <c r="Y35" s="51">
        <v>1</v>
      </c>
      <c r="Z35" s="51">
        <v>1</v>
      </c>
      <c r="AC35"/>
      <c r="AD35"/>
      <c r="AE35"/>
      <c r="AF35"/>
      <c r="AG35"/>
      <c r="AH35"/>
      <c r="AI35"/>
      <c r="AJ35"/>
      <c r="AK35"/>
      <c r="AL35"/>
      <c r="AM35"/>
      <c r="AN35"/>
    </row>
    <row r="36" spans="2:40" x14ac:dyDescent="0.25">
      <c r="B36" s="52" t="s">
        <v>38</v>
      </c>
      <c r="C36" s="51">
        <v>1</v>
      </c>
      <c r="E36" s="51">
        <v>1</v>
      </c>
      <c r="L36" s="52" t="s">
        <v>88</v>
      </c>
      <c r="M36" s="51">
        <v>80</v>
      </c>
      <c r="N36"/>
      <c r="O36"/>
      <c r="P36"/>
      <c r="Q36" s="52" t="s">
        <v>67</v>
      </c>
      <c r="R36" s="51">
        <v>2</v>
      </c>
      <c r="S36" s="51">
        <v>2</v>
      </c>
      <c r="T36" s="53">
        <f t="shared" ref="T36:T67" si="2">S36/R36</f>
        <v>1</v>
      </c>
      <c r="AC36"/>
      <c r="AD36"/>
      <c r="AE36"/>
      <c r="AF36"/>
      <c r="AG36"/>
      <c r="AH36"/>
      <c r="AI36"/>
      <c r="AJ36"/>
      <c r="AK36"/>
      <c r="AL36"/>
      <c r="AM36"/>
      <c r="AN36"/>
    </row>
    <row r="37" spans="2:40" x14ac:dyDescent="0.25">
      <c r="B37" s="52" t="s">
        <v>41</v>
      </c>
      <c r="C37" s="51">
        <v>1</v>
      </c>
      <c r="E37" s="51">
        <v>1</v>
      </c>
      <c r="L37" s="52" t="s">
        <v>89</v>
      </c>
      <c r="M37" s="51">
        <v>1</v>
      </c>
      <c r="N37"/>
      <c r="O37"/>
      <c r="P37"/>
      <c r="Q37" s="52" t="s">
        <v>69</v>
      </c>
      <c r="R37" s="51">
        <v>1</v>
      </c>
      <c r="S37" s="51">
        <v>1</v>
      </c>
      <c r="T37" s="53">
        <f t="shared" si="2"/>
        <v>1</v>
      </c>
      <c r="W37" s="51">
        <v>1</v>
      </c>
      <c r="X37" s="51">
        <v>1</v>
      </c>
      <c r="Y37" s="51">
        <v>1</v>
      </c>
      <c r="Z37" s="51">
        <v>1</v>
      </c>
      <c r="AC37"/>
      <c r="AD37"/>
      <c r="AE37"/>
      <c r="AF37"/>
      <c r="AG37"/>
      <c r="AH37"/>
      <c r="AI37"/>
      <c r="AJ37"/>
      <c r="AK37"/>
      <c r="AL37"/>
      <c r="AM37"/>
      <c r="AN37"/>
    </row>
    <row r="38" spans="2:40" x14ac:dyDescent="0.25">
      <c r="B38" s="52" t="s">
        <v>44</v>
      </c>
      <c r="D38" s="51">
        <v>1</v>
      </c>
      <c r="E38" s="51">
        <v>1</v>
      </c>
      <c r="L38" s="52" t="s">
        <v>90</v>
      </c>
      <c r="M38" s="51">
        <v>1</v>
      </c>
      <c r="N38"/>
      <c r="O38"/>
      <c r="P38"/>
      <c r="Q38" s="52" t="s">
        <v>71</v>
      </c>
      <c r="R38" s="51">
        <v>1</v>
      </c>
      <c r="S38" s="51">
        <v>1</v>
      </c>
      <c r="T38" s="53">
        <f t="shared" si="2"/>
        <v>1</v>
      </c>
      <c r="AC38"/>
      <c r="AD38"/>
      <c r="AE38"/>
      <c r="AF38"/>
      <c r="AG38"/>
      <c r="AH38"/>
      <c r="AI38"/>
      <c r="AJ38"/>
      <c r="AK38"/>
      <c r="AL38"/>
      <c r="AM38"/>
      <c r="AN38"/>
    </row>
    <row r="39" spans="2:40" x14ac:dyDescent="0.25">
      <c r="B39" s="52" t="s">
        <v>54</v>
      </c>
      <c r="C39" s="51">
        <v>1</v>
      </c>
      <c r="E39" s="51">
        <v>1</v>
      </c>
      <c r="L39" s="52" t="s">
        <v>91</v>
      </c>
      <c r="M39" s="51">
        <v>1</v>
      </c>
      <c r="N39"/>
      <c r="O39"/>
      <c r="P39"/>
      <c r="Q39" s="52" t="s">
        <v>73</v>
      </c>
      <c r="R39" s="51">
        <v>1</v>
      </c>
      <c r="S39" s="51">
        <v>1</v>
      </c>
      <c r="T39" s="53">
        <f t="shared" si="2"/>
        <v>1</v>
      </c>
      <c r="AC39"/>
      <c r="AD39"/>
      <c r="AE39"/>
      <c r="AF39"/>
      <c r="AG39"/>
      <c r="AH39"/>
      <c r="AI39"/>
      <c r="AJ39"/>
      <c r="AK39"/>
      <c r="AL39"/>
      <c r="AM39"/>
      <c r="AN39"/>
    </row>
    <row r="40" spans="2:40" x14ac:dyDescent="0.25">
      <c r="B40" s="52" t="s">
        <v>56</v>
      </c>
      <c r="D40" s="51">
        <v>5</v>
      </c>
      <c r="E40" s="51">
        <v>5</v>
      </c>
      <c r="L40" s="52" t="s">
        <v>62</v>
      </c>
      <c r="N40"/>
      <c r="O40"/>
      <c r="P40"/>
      <c r="Q40" s="52" t="s">
        <v>76</v>
      </c>
      <c r="R40" s="51">
        <v>1</v>
      </c>
      <c r="S40" s="51">
        <v>1</v>
      </c>
      <c r="T40" s="53">
        <f t="shared" si="2"/>
        <v>1</v>
      </c>
      <c r="AC40"/>
      <c r="AD40"/>
      <c r="AE40"/>
      <c r="AF40"/>
      <c r="AG40"/>
      <c r="AH40"/>
      <c r="AI40"/>
      <c r="AJ40"/>
      <c r="AK40"/>
      <c r="AL40"/>
      <c r="AM40"/>
      <c r="AN40"/>
    </row>
    <row r="41" spans="2:40" x14ac:dyDescent="0.25">
      <c r="B41" s="52" t="s">
        <v>47</v>
      </c>
      <c r="C41" s="51">
        <v>1</v>
      </c>
      <c r="E41" s="51">
        <v>1</v>
      </c>
      <c r="L41" s="52" t="s">
        <v>92</v>
      </c>
      <c r="M41" s="51">
        <v>1</v>
      </c>
      <c r="N41"/>
      <c r="O41"/>
      <c r="P41"/>
      <c r="Q41" s="52" t="s">
        <v>78</v>
      </c>
      <c r="R41" s="51">
        <v>1</v>
      </c>
      <c r="S41" s="51">
        <v>1</v>
      </c>
      <c r="T41" s="53">
        <f t="shared" si="2"/>
        <v>1</v>
      </c>
      <c r="AC41"/>
      <c r="AD41"/>
      <c r="AE41"/>
      <c r="AF41"/>
      <c r="AG41"/>
      <c r="AH41"/>
      <c r="AI41"/>
      <c r="AJ41"/>
      <c r="AK41"/>
      <c r="AL41"/>
      <c r="AM41"/>
      <c r="AN41"/>
    </row>
    <row r="42" spans="2:40" x14ac:dyDescent="0.25">
      <c r="B42" s="52" t="s">
        <v>59</v>
      </c>
      <c r="C42" s="51">
        <v>1</v>
      </c>
      <c r="E42" s="51">
        <v>1</v>
      </c>
      <c r="L42" s="52" t="s">
        <v>93</v>
      </c>
      <c r="M42" s="51">
        <v>1</v>
      </c>
      <c r="N42"/>
      <c r="O42"/>
      <c r="P42"/>
      <c r="Q42" s="52" t="s">
        <v>80</v>
      </c>
      <c r="R42" s="51">
        <v>1</v>
      </c>
      <c r="S42" s="51">
        <v>1</v>
      </c>
      <c r="T42" s="53">
        <f t="shared" si="2"/>
        <v>1</v>
      </c>
      <c r="AC42"/>
      <c r="AD42"/>
      <c r="AE42"/>
      <c r="AF42"/>
      <c r="AG42"/>
      <c r="AH42"/>
      <c r="AI42"/>
      <c r="AJ42"/>
      <c r="AK42"/>
      <c r="AL42"/>
      <c r="AM42"/>
      <c r="AN42"/>
    </row>
    <row r="43" spans="2:40" x14ac:dyDescent="0.25">
      <c r="B43" s="52" t="s">
        <v>48</v>
      </c>
      <c r="C43" s="51">
        <v>1</v>
      </c>
      <c r="E43" s="51">
        <v>1</v>
      </c>
      <c r="L43" s="52" t="s">
        <v>64</v>
      </c>
      <c r="N43"/>
      <c r="O43"/>
      <c r="P43"/>
      <c r="Q43" s="52" t="s">
        <v>84</v>
      </c>
      <c r="R43" s="51">
        <v>1</v>
      </c>
      <c r="S43" s="51">
        <v>1</v>
      </c>
      <c r="T43" s="53">
        <f t="shared" si="2"/>
        <v>1</v>
      </c>
      <c r="AC43"/>
      <c r="AD43"/>
      <c r="AE43"/>
      <c r="AF43"/>
      <c r="AG43"/>
      <c r="AH43"/>
      <c r="AI43"/>
      <c r="AJ43"/>
      <c r="AK43"/>
      <c r="AL43"/>
      <c r="AM43"/>
      <c r="AN43"/>
    </row>
    <row r="44" spans="2:40" x14ac:dyDescent="0.25">
      <c r="B44" s="52" t="s">
        <v>63</v>
      </c>
      <c r="C44" s="51">
        <v>1</v>
      </c>
      <c r="E44" s="51">
        <v>1</v>
      </c>
      <c r="L44" s="52" t="s">
        <v>94</v>
      </c>
      <c r="M44" s="51">
        <v>10</v>
      </c>
      <c r="N44"/>
      <c r="O44"/>
      <c r="P44"/>
      <c r="Q44" s="52" t="s">
        <v>60</v>
      </c>
      <c r="R44" s="51">
        <v>1</v>
      </c>
      <c r="S44" s="51">
        <v>1</v>
      </c>
      <c r="T44" s="53">
        <f t="shared" si="2"/>
        <v>1</v>
      </c>
      <c r="AC44"/>
      <c r="AD44"/>
      <c r="AE44"/>
      <c r="AF44"/>
      <c r="AG44"/>
      <c r="AH44"/>
      <c r="AI44"/>
      <c r="AJ44"/>
      <c r="AK44"/>
      <c r="AL44"/>
      <c r="AM44"/>
      <c r="AN44"/>
    </row>
    <row r="45" spans="2:40" x14ac:dyDescent="0.25">
      <c r="B45" s="52" t="s">
        <v>65</v>
      </c>
      <c r="D45" s="51">
        <v>2</v>
      </c>
      <c r="E45" s="51">
        <v>2</v>
      </c>
      <c r="L45" s="52" t="s">
        <v>95</v>
      </c>
      <c r="M45" s="51">
        <v>1</v>
      </c>
      <c r="N45"/>
      <c r="O45"/>
      <c r="P45"/>
      <c r="Q45" s="52" t="s">
        <v>85</v>
      </c>
      <c r="R45" s="51">
        <v>1</v>
      </c>
      <c r="S45" s="51">
        <v>1</v>
      </c>
      <c r="T45" s="53">
        <f t="shared" si="2"/>
        <v>1</v>
      </c>
      <c r="AC45"/>
      <c r="AD45"/>
      <c r="AE45"/>
      <c r="AF45"/>
      <c r="AG45"/>
      <c r="AH45"/>
      <c r="AI45"/>
      <c r="AJ45"/>
      <c r="AK45"/>
      <c r="AL45"/>
      <c r="AM45"/>
      <c r="AN45"/>
    </row>
    <row r="46" spans="2:40" x14ac:dyDescent="0.25">
      <c r="B46" s="52" t="s">
        <v>67</v>
      </c>
      <c r="D46" s="51">
        <v>2</v>
      </c>
      <c r="E46" s="51">
        <v>2</v>
      </c>
      <c r="L46" s="52" t="s">
        <v>66</v>
      </c>
      <c r="N46"/>
      <c r="O46"/>
      <c r="P46"/>
      <c r="Q46" s="52" t="s">
        <v>86</v>
      </c>
      <c r="R46" s="51">
        <v>1</v>
      </c>
      <c r="S46" s="51">
        <v>1</v>
      </c>
      <c r="T46" s="53">
        <f t="shared" si="2"/>
        <v>1</v>
      </c>
      <c r="AC46"/>
      <c r="AD46"/>
      <c r="AE46"/>
      <c r="AF46"/>
      <c r="AG46"/>
      <c r="AH46"/>
      <c r="AI46"/>
      <c r="AJ46"/>
      <c r="AK46"/>
      <c r="AL46"/>
      <c r="AM46"/>
      <c r="AN46"/>
    </row>
    <row r="47" spans="2:40" x14ac:dyDescent="0.25">
      <c r="B47" s="52" t="s">
        <v>69</v>
      </c>
      <c r="D47" s="51">
        <v>1</v>
      </c>
      <c r="E47" s="51">
        <v>1</v>
      </c>
      <c r="L47" s="52" t="s">
        <v>68</v>
      </c>
      <c r="M47" s="51">
        <v>2</v>
      </c>
      <c r="N47"/>
      <c r="O47"/>
      <c r="P47"/>
      <c r="Q47" s="52" t="s">
        <v>87</v>
      </c>
      <c r="R47" s="51">
        <v>1</v>
      </c>
      <c r="S47" s="51">
        <v>1</v>
      </c>
      <c r="T47" s="53">
        <f t="shared" si="2"/>
        <v>1</v>
      </c>
      <c r="AC47"/>
      <c r="AD47"/>
      <c r="AE47"/>
      <c r="AF47"/>
      <c r="AG47"/>
      <c r="AH47"/>
      <c r="AI47"/>
      <c r="AJ47"/>
      <c r="AK47"/>
      <c r="AL47"/>
      <c r="AM47"/>
      <c r="AN47"/>
    </row>
    <row r="48" spans="2:40" x14ac:dyDescent="0.25">
      <c r="B48" s="52" t="s">
        <v>71</v>
      </c>
      <c r="C48" s="51">
        <v>1</v>
      </c>
      <c r="E48" s="51">
        <v>1</v>
      </c>
      <c r="L48" s="52" t="s">
        <v>96</v>
      </c>
      <c r="M48" s="51">
        <v>1</v>
      </c>
      <c r="N48"/>
      <c r="O48"/>
      <c r="P48"/>
      <c r="Q48" s="52" t="s">
        <v>89</v>
      </c>
      <c r="R48" s="51">
        <v>1</v>
      </c>
      <c r="S48" s="51">
        <v>1</v>
      </c>
      <c r="T48" s="53">
        <f t="shared" si="2"/>
        <v>1</v>
      </c>
      <c r="AC48"/>
      <c r="AD48"/>
      <c r="AE48"/>
      <c r="AF48"/>
      <c r="AG48"/>
      <c r="AH48"/>
      <c r="AI48"/>
      <c r="AJ48"/>
      <c r="AK48"/>
      <c r="AL48"/>
      <c r="AM48"/>
      <c r="AN48"/>
    </row>
    <row r="49" spans="2:40" x14ac:dyDescent="0.25">
      <c r="B49" s="52" t="s">
        <v>73</v>
      </c>
      <c r="C49" s="51">
        <v>1</v>
      </c>
      <c r="E49" s="51">
        <v>1</v>
      </c>
      <c r="L49" s="52" t="s">
        <v>97</v>
      </c>
      <c r="M49" s="51">
        <v>1</v>
      </c>
      <c r="N49"/>
      <c r="O49"/>
      <c r="P49"/>
      <c r="Q49" s="52" t="s">
        <v>90</v>
      </c>
      <c r="R49" s="51">
        <v>1</v>
      </c>
      <c r="S49" s="51">
        <v>1</v>
      </c>
      <c r="T49" s="53">
        <f t="shared" si="2"/>
        <v>1</v>
      </c>
      <c r="AC49"/>
      <c r="AD49"/>
      <c r="AE49"/>
      <c r="AF49"/>
      <c r="AG49"/>
      <c r="AH49"/>
      <c r="AI49"/>
      <c r="AJ49"/>
      <c r="AK49"/>
      <c r="AL49"/>
      <c r="AM49"/>
      <c r="AN49"/>
    </row>
    <row r="50" spans="2:40" x14ac:dyDescent="0.25">
      <c r="B50" s="52" t="s">
        <v>50</v>
      </c>
      <c r="C50" s="51">
        <v>1</v>
      </c>
      <c r="E50" s="51">
        <v>1</v>
      </c>
      <c r="L50" s="52" t="s">
        <v>70</v>
      </c>
      <c r="N50"/>
      <c r="O50"/>
      <c r="P50"/>
      <c r="Q50" s="52" t="s">
        <v>91</v>
      </c>
      <c r="R50" s="51">
        <v>1</v>
      </c>
      <c r="S50" s="51">
        <v>1</v>
      </c>
      <c r="T50" s="53">
        <f t="shared" si="2"/>
        <v>1</v>
      </c>
      <c r="AC50"/>
      <c r="AD50"/>
      <c r="AE50"/>
      <c r="AF50"/>
      <c r="AG50"/>
      <c r="AH50"/>
      <c r="AI50"/>
      <c r="AJ50"/>
      <c r="AK50"/>
      <c r="AL50"/>
      <c r="AM50"/>
      <c r="AN50"/>
    </row>
    <row r="51" spans="2:40" x14ac:dyDescent="0.25">
      <c r="B51" s="52" t="s">
        <v>76</v>
      </c>
      <c r="C51" s="51">
        <v>1</v>
      </c>
      <c r="E51" s="51">
        <v>1</v>
      </c>
      <c r="L51" s="52" t="s">
        <v>98</v>
      </c>
      <c r="M51" s="51">
        <v>1</v>
      </c>
      <c r="N51"/>
      <c r="O51"/>
      <c r="P51"/>
      <c r="Q51" s="52" t="s">
        <v>92</v>
      </c>
      <c r="R51" s="51">
        <v>1</v>
      </c>
      <c r="S51" s="51">
        <v>1</v>
      </c>
      <c r="T51" s="53">
        <f t="shared" si="2"/>
        <v>1</v>
      </c>
      <c r="AC51"/>
      <c r="AD51"/>
      <c r="AE51"/>
      <c r="AF51"/>
      <c r="AG51"/>
      <c r="AH51"/>
      <c r="AI51"/>
      <c r="AJ51"/>
      <c r="AK51"/>
      <c r="AL51"/>
      <c r="AM51"/>
      <c r="AN51"/>
    </row>
    <row r="52" spans="2:40" x14ac:dyDescent="0.25">
      <c r="B52" s="52" t="s">
        <v>78</v>
      </c>
      <c r="D52" s="51">
        <v>1</v>
      </c>
      <c r="E52" s="51">
        <v>1</v>
      </c>
      <c r="L52" s="52" t="s">
        <v>72</v>
      </c>
      <c r="N52"/>
      <c r="O52"/>
      <c r="P52"/>
      <c r="Q52" s="52" t="s">
        <v>93</v>
      </c>
      <c r="R52" s="51">
        <v>1</v>
      </c>
      <c r="S52" s="51">
        <v>1</v>
      </c>
      <c r="T52" s="53">
        <f t="shared" si="2"/>
        <v>1</v>
      </c>
      <c r="AC52"/>
      <c r="AD52"/>
      <c r="AE52"/>
      <c r="AF52"/>
      <c r="AG52"/>
      <c r="AH52"/>
      <c r="AI52"/>
      <c r="AJ52"/>
      <c r="AK52"/>
      <c r="AL52"/>
      <c r="AM52"/>
      <c r="AN52"/>
    </row>
    <row r="53" spans="2:40" x14ac:dyDescent="0.25">
      <c r="B53" s="52" t="s">
        <v>80</v>
      </c>
      <c r="C53" s="51">
        <v>1</v>
      </c>
      <c r="E53" s="51">
        <v>1</v>
      </c>
      <c r="L53" s="52" t="s">
        <v>74</v>
      </c>
      <c r="M53" s="51">
        <v>1</v>
      </c>
      <c r="N53"/>
      <c r="O53"/>
      <c r="P53"/>
      <c r="Q53" s="52" t="s">
        <v>94</v>
      </c>
      <c r="R53" s="51">
        <v>10</v>
      </c>
      <c r="S53" s="51">
        <v>10</v>
      </c>
      <c r="T53" s="53">
        <f t="shared" si="2"/>
        <v>1</v>
      </c>
      <c r="U53" s="51">
        <v>2</v>
      </c>
      <c r="W53" s="51">
        <v>1</v>
      </c>
      <c r="X53" s="51">
        <v>1</v>
      </c>
      <c r="Y53" s="51">
        <v>1</v>
      </c>
      <c r="Z53" s="51">
        <v>1</v>
      </c>
      <c r="AC53"/>
      <c r="AD53"/>
      <c r="AE53"/>
      <c r="AF53"/>
      <c r="AG53"/>
      <c r="AH53"/>
      <c r="AI53"/>
      <c r="AJ53"/>
      <c r="AK53"/>
      <c r="AL53"/>
      <c r="AM53"/>
      <c r="AN53"/>
    </row>
    <row r="54" spans="2:40" x14ac:dyDescent="0.25">
      <c r="B54" s="52" t="s">
        <v>53</v>
      </c>
      <c r="C54" s="51">
        <v>1</v>
      </c>
      <c r="E54" s="51">
        <v>1</v>
      </c>
      <c r="L54" s="52" t="s">
        <v>99</v>
      </c>
      <c r="M54" s="51">
        <v>1</v>
      </c>
      <c r="N54"/>
      <c r="O54"/>
      <c r="P54"/>
      <c r="Q54" s="52" t="s">
        <v>95</v>
      </c>
      <c r="R54" s="51">
        <v>1</v>
      </c>
      <c r="S54" s="51">
        <v>1</v>
      </c>
      <c r="T54" s="53">
        <f t="shared" si="2"/>
        <v>1</v>
      </c>
      <c r="AC54"/>
      <c r="AD54"/>
      <c r="AE54"/>
      <c r="AF54"/>
      <c r="AG54"/>
      <c r="AH54"/>
      <c r="AI54"/>
      <c r="AJ54"/>
      <c r="AK54"/>
      <c r="AL54"/>
      <c r="AM54"/>
      <c r="AN54"/>
    </row>
    <row r="55" spans="2:40" x14ac:dyDescent="0.25">
      <c r="B55" s="52" t="s">
        <v>55</v>
      </c>
      <c r="D55" s="51">
        <v>1</v>
      </c>
      <c r="E55" s="51">
        <v>1</v>
      </c>
      <c r="L55" s="52" t="s">
        <v>100</v>
      </c>
      <c r="M55" s="51">
        <v>1</v>
      </c>
      <c r="N55"/>
      <c r="O55"/>
      <c r="P55"/>
      <c r="Q55" s="52" t="s">
        <v>68</v>
      </c>
      <c r="R55" s="51">
        <v>2</v>
      </c>
      <c r="S55" s="51">
        <v>2</v>
      </c>
      <c r="T55" s="53">
        <f t="shared" si="2"/>
        <v>1</v>
      </c>
      <c r="AC55"/>
      <c r="AD55"/>
      <c r="AE55"/>
      <c r="AF55"/>
      <c r="AG55"/>
      <c r="AH55"/>
      <c r="AI55"/>
      <c r="AJ55"/>
      <c r="AK55"/>
      <c r="AL55"/>
      <c r="AM55"/>
      <c r="AN55"/>
    </row>
    <row r="56" spans="2:40" x14ac:dyDescent="0.25">
      <c r="B56" s="52" t="s">
        <v>57</v>
      </c>
      <c r="D56" s="51">
        <v>1</v>
      </c>
      <c r="E56" s="51">
        <v>1</v>
      </c>
      <c r="L56" s="52" t="s">
        <v>75</v>
      </c>
      <c r="N56"/>
      <c r="O56"/>
      <c r="P56"/>
      <c r="Q56" s="52" t="s">
        <v>96</v>
      </c>
      <c r="R56" s="51">
        <v>1</v>
      </c>
      <c r="S56" s="51">
        <v>1</v>
      </c>
      <c r="T56" s="53">
        <f t="shared" si="2"/>
        <v>1</v>
      </c>
      <c r="AC56"/>
      <c r="AD56"/>
      <c r="AE56"/>
      <c r="AF56"/>
      <c r="AG56"/>
      <c r="AH56"/>
      <c r="AI56"/>
      <c r="AJ56"/>
      <c r="AK56"/>
      <c r="AL56"/>
      <c r="AM56"/>
      <c r="AN56"/>
    </row>
    <row r="57" spans="2:40" x14ac:dyDescent="0.25">
      <c r="B57" s="52" t="s">
        <v>58</v>
      </c>
      <c r="C57" s="51">
        <v>1</v>
      </c>
      <c r="E57" s="51">
        <v>1</v>
      </c>
      <c r="L57" s="52" t="s">
        <v>77</v>
      </c>
      <c r="N57"/>
      <c r="O57"/>
      <c r="P57"/>
      <c r="Q57" s="52" t="s">
        <v>97</v>
      </c>
      <c r="R57" s="51">
        <v>1</v>
      </c>
      <c r="S57" s="51">
        <v>1</v>
      </c>
      <c r="T57" s="53">
        <f t="shared" si="2"/>
        <v>1</v>
      </c>
      <c r="AC57"/>
      <c r="AD57"/>
      <c r="AE57"/>
      <c r="AF57"/>
      <c r="AG57"/>
      <c r="AH57"/>
      <c r="AI57"/>
      <c r="AJ57"/>
      <c r="AK57"/>
      <c r="AL57"/>
      <c r="AM57"/>
      <c r="AN57"/>
    </row>
    <row r="58" spans="2:40" x14ac:dyDescent="0.25">
      <c r="B58" s="52" t="s">
        <v>84</v>
      </c>
      <c r="D58" s="51">
        <v>1</v>
      </c>
      <c r="E58" s="51">
        <v>1</v>
      </c>
      <c r="L58" s="52" t="s">
        <v>79</v>
      </c>
      <c r="N58"/>
      <c r="O58"/>
      <c r="P58"/>
      <c r="Q58" s="52" t="s">
        <v>98</v>
      </c>
      <c r="R58" s="51">
        <v>1</v>
      </c>
      <c r="S58" s="51">
        <v>1</v>
      </c>
      <c r="T58" s="53">
        <f t="shared" si="2"/>
        <v>1</v>
      </c>
      <c r="AC58"/>
      <c r="AD58"/>
      <c r="AE58"/>
      <c r="AF58"/>
      <c r="AG58"/>
      <c r="AH58"/>
      <c r="AI58"/>
      <c r="AJ58"/>
      <c r="AK58"/>
      <c r="AL58"/>
      <c r="AM58"/>
      <c r="AN58"/>
    </row>
    <row r="59" spans="2:40" x14ac:dyDescent="0.25">
      <c r="B59" s="52" t="s">
        <v>60</v>
      </c>
      <c r="C59" s="51">
        <v>1</v>
      </c>
      <c r="E59" s="51">
        <v>1</v>
      </c>
      <c r="L59" s="52" t="s">
        <v>81</v>
      </c>
      <c r="N59"/>
      <c r="O59"/>
      <c r="P59"/>
      <c r="Q59" s="52" t="s">
        <v>74</v>
      </c>
      <c r="R59" s="51">
        <v>1</v>
      </c>
      <c r="S59" s="51">
        <v>1</v>
      </c>
      <c r="T59" s="53">
        <f t="shared" si="2"/>
        <v>1</v>
      </c>
      <c r="AC59"/>
      <c r="AD59"/>
      <c r="AE59"/>
      <c r="AF59"/>
      <c r="AG59"/>
      <c r="AH59"/>
      <c r="AI59"/>
      <c r="AJ59"/>
      <c r="AK59"/>
      <c r="AL59"/>
      <c r="AM59"/>
      <c r="AN59"/>
    </row>
    <row r="60" spans="2:40" x14ac:dyDescent="0.25">
      <c r="B60" s="52" t="s">
        <v>85</v>
      </c>
      <c r="D60" s="51">
        <v>1</v>
      </c>
      <c r="E60" s="51">
        <v>1</v>
      </c>
      <c r="L60" s="52" t="s">
        <v>101</v>
      </c>
      <c r="M60" s="51">
        <v>1</v>
      </c>
      <c r="N60"/>
      <c r="O60"/>
      <c r="P60"/>
      <c r="Q60" s="52" t="s">
        <v>99</v>
      </c>
      <c r="R60" s="51">
        <v>1</v>
      </c>
      <c r="S60" s="51">
        <v>1</v>
      </c>
      <c r="T60" s="53">
        <f t="shared" si="2"/>
        <v>1</v>
      </c>
      <c r="AC60"/>
      <c r="AD60"/>
      <c r="AE60"/>
      <c r="AF60"/>
      <c r="AG60"/>
      <c r="AH60"/>
      <c r="AI60"/>
      <c r="AJ60"/>
      <c r="AK60"/>
      <c r="AL60"/>
      <c r="AM60"/>
      <c r="AN60"/>
    </row>
    <row r="61" spans="2:40" x14ac:dyDescent="0.25">
      <c r="B61" s="52" t="s">
        <v>86</v>
      </c>
      <c r="C61" s="51">
        <v>1</v>
      </c>
      <c r="E61" s="51">
        <v>1</v>
      </c>
      <c r="L61" s="52" t="s">
        <v>102</v>
      </c>
      <c r="M61" s="51">
        <v>1</v>
      </c>
      <c r="N61"/>
      <c r="O61"/>
      <c r="P61"/>
      <c r="Q61" s="52" t="s">
        <v>100</v>
      </c>
      <c r="R61" s="51">
        <v>1</v>
      </c>
      <c r="S61" s="51">
        <v>1</v>
      </c>
      <c r="T61" s="53">
        <f t="shared" si="2"/>
        <v>1</v>
      </c>
      <c r="AC61"/>
      <c r="AD61"/>
      <c r="AE61"/>
      <c r="AF61"/>
      <c r="AG61"/>
      <c r="AH61"/>
      <c r="AI61"/>
      <c r="AJ61"/>
      <c r="AK61"/>
      <c r="AL61"/>
      <c r="AM61"/>
      <c r="AN61"/>
    </row>
    <row r="62" spans="2:40" x14ac:dyDescent="0.25">
      <c r="B62" s="52" t="s">
        <v>87</v>
      </c>
      <c r="C62" s="51">
        <v>1</v>
      </c>
      <c r="E62" s="51">
        <v>1</v>
      </c>
      <c r="L62" s="52" t="s">
        <v>82</v>
      </c>
      <c r="N62"/>
      <c r="O62"/>
      <c r="P62"/>
      <c r="Q62" s="52" t="s">
        <v>101</v>
      </c>
      <c r="R62" s="51">
        <v>1</v>
      </c>
      <c r="S62" s="51">
        <v>1</v>
      </c>
      <c r="T62" s="53">
        <f t="shared" si="2"/>
        <v>1</v>
      </c>
      <c r="AC62"/>
      <c r="AD62"/>
      <c r="AE62"/>
      <c r="AF62"/>
      <c r="AG62"/>
      <c r="AH62"/>
      <c r="AI62"/>
      <c r="AJ62"/>
      <c r="AK62"/>
      <c r="AL62"/>
      <c r="AM62"/>
      <c r="AN62"/>
    </row>
    <row r="63" spans="2:40" x14ac:dyDescent="0.25">
      <c r="B63" s="52" t="s">
        <v>88</v>
      </c>
      <c r="D63" s="51">
        <v>100</v>
      </c>
      <c r="E63" s="51">
        <v>100</v>
      </c>
      <c r="L63" s="52" t="s">
        <v>103</v>
      </c>
      <c r="M63" s="51">
        <v>1</v>
      </c>
      <c r="N63"/>
      <c r="O63"/>
      <c r="P63"/>
      <c r="Q63" s="52" t="s">
        <v>102</v>
      </c>
      <c r="R63" s="51">
        <v>1</v>
      </c>
      <c r="S63" s="51">
        <v>1</v>
      </c>
      <c r="T63" s="53">
        <f t="shared" si="2"/>
        <v>1</v>
      </c>
      <c r="AC63"/>
      <c r="AD63"/>
      <c r="AE63"/>
      <c r="AF63"/>
      <c r="AG63"/>
      <c r="AH63"/>
      <c r="AI63"/>
      <c r="AJ63"/>
      <c r="AK63"/>
      <c r="AL63"/>
      <c r="AM63"/>
      <c r="AN63"/>
    </row>
    <row r="64" spans="2:40" x14ac:dyDescent="0.25">
      <c r="B64" s="52" t="s">
        <v>89</v>
      </c>
      <c r="C64" s="51">
        <v>1</v>
      </c>
      <c r="E64" s="51">
        <v>1</v>
      </c>
      <c r="L64" s="52" t="s">
        <v>104</v>
      </c>
      <c r="M64" s="51">
        <v>1</v>
      </c>
      <c r="N64"/>
      <c r="O64"/>
      <c r="P64"/>
      <c r="Q64" s="52" t="s">
        <v>103</v>
      </c>
      <c r="R64" s="51">
        <v>1</v>
      </c>
      <c r="S64" s="51">
        <v>1</v>
      </c>
      <c r="T64" s="53">
        <f t="shared" si="2"/>
        <v>1</v>
      </c>
      <c r="AC64"/>
      <c r="AD64"/>
      <c r="AE64"/>
      <c r="AF64"/>
      <c r="AG64"/>
      <c r="AH64"/>
      <c r="AI64"/>
      <c r="AJ64"/>
      <c r="AK64"/>
      <c r="AL64"/>
      <c r="AM64"/>
      <c r="AN64"/>
    </row>
    <row r="65" spans="2:40" x14ac:dyDescent="0.25">
      <c r="B65" s="52" t="s">
        <v>90</v>
      </c>
      <c r="C65" s="51">
        <v>1</v>
      </c>
      <c r="E65" s="51">
        <v>1</v>
      </c>
      <c r="L65" s="52" t="s">
        <v>105</v>
      </c>
      <c r="M65" s="51">
        <v>2</v>
      </c>
      <c r="N65"/>
      <c r="O65"/>
      <c r="P65"/>
      <c r="Q65" s="52" t="s">
        <v>104</v>
      </c>
      <c r="R65" s="51">
        <v>1</v>
      </c>
      <c r="S65" s="51">
        <v>1</v>
      </c>
      <c r="T65" s="53">
        <f t="shared" si="2"/>
        <v>1</v>
      </c>
      <c r="AC65"/>
      <c r="AD65"/>
      <c r="AE65"/>
      <c r="AF65"/>
      <c r="AG65"/>
      <c r="AH65"/>
      <c r="AI65"/>
      <c r="AJ65"/>
      <c r="AK65"/>
      <c r="AL65"/>
      <c r="AM65"/>
      <c r="AN65"/>
    </row>
    <row r="66" spans="2:40" x14ac:dyDescent="0.25">
      <c r="B66" s="52" t="s">
        <v>91</v>
      </c>
      <c r="C66" s="51">
        <v>1</v>
      </c>
      <c r="E66" s="51">
        <v>1</v>
      </c>
      <c r="L66" s="52" t="s">
        <v>106</v>
      </c>
      <c r="M66" s="51">
        <v>3</v>
      </c>
      <c r="N66"/>
      <c r="O66"/>
      <c r="P66"/>
      <c r="Q66" s="52" t="s">
        <v>106</v>
      </c>
      <c r="R66" s="51">
        <v>3</v>
      </c>
      <c r="S66" s="51">
        <v>3</v>
      </c>
      <c r="T66" s="53">
        <f t="shared" si="2"/>
        <v>1</v>
      </c>
      <c r="AC66"/>
      <c r="AD66"/>
      <c r="AE66"/>
      <c r="AF66"/>
      <c r="AG66"/>
      <c r="AH66"/>
      <c r="AI66"/>
      <c r="AJ66"/>
      <c r="AK66"/>
      <c r="AL66"/>
      <c r="AM66"/>
      <c r="AN66"/>
    </row>
    <row r="67" spans="2:40" x14ac:dyDescent="0.25">
      <c r="B67" s="52" t="s">
        <v>62</v>
      </c>
      <c r="C67" s="51">
        <v>1</v>
      </c>
      <c r="E67" s="51">
        <v>1</v>
      </c>
      <c r="L67" s="52" t="s">
        <v>107</v>
      </c>
      <c r="M67" s="51">
        <v>1</v>
      </c>
      <c r="N67"/>
      <c r="O67"/>
      <c r="P67"/>
      <c r="Q67" s="52" t="s">
        <v>107</v>
      </c>
      <c r="R67" s="51">
        <v>1</v>
      </c>
      <c r="S67" s="51">
        <v>1</v>
      </c>
      <c r="T67" s="53">
        <f t="shared" si="2"/>
        <v>1</v>
      </c>
      <c r="AC67"/>
      <c r="AD67"/>
      <c r="AE67"/>
      <c r="AF67"/>
      <c r="AG67"/>
      <c r="AH67"/>
      <c r="AI67"/>
      <c r="AJ67"/>
      <c r="AK67"/>
      <c r="AL67"/>
      <c r="AM67"/>
      <c r="AN67"/>
    </row>
    <row r="68" spans="2:40" x14ac:dyDescent="0.25">
      <c r="B68" s="52" t="s">
        <v>92</v>
      </c>
      <c r="C68" s="51">
        <v>1</v>
      </c>
      <c r="E68" s="51">
        <v>1</v>
      </c>
      <c r="L68" s="52" t="s">
        <v>108</v>
      </c>
      <c r="M68" s="51">
        <v>1</v>
      </c>
      <c r="N68"/>
      <c r="O68"/>
      <c r="P68"/>
      <c r="Q68" s="52" t="s">
        <v>109</v>
      </c>
      <c r="R68" s="51">
        <v>1</v>
      </c>
      <c r="S68" s="51">
        <v>1</v>
      </c>
      <c r="T68" s="53">
        <f t="shared" ref="T68:T84" si="3">S68/R68</f>
        <v>1</v>
      </c>
      <c r="AC68"/>
      <c r="AD68"/>
      <c r="AE68"/>
      <c r="AF68"/>
      <c r="AG68"/>
      <c r="AH68"/>
      <c r="AI68"/>
      <c r="AJ68"/>
      <c r="AK68"/>
      <c r="AL68"/>
      <c r="AM68"/>
      <c r="AN68"/>
    </row>
    <row r="69" spans="2:40" x14ac:dyDescent="0.25">
      <c r="B69" s="52" t="s">
        <v>93</v>
      </c>
      <c r="D69" s="51">
        <v>1</v>
      </c>
      <c r="E69" s="51">
        <v>1</v>
      </c>
      <c r="L69" s="52" t="s">
        <v>83</v>
      </c>
      <c r="N69"/>
      <c r="O69"/>
      <c r="P69"/>
      <c r="Q69" s="52" t="s">
        <v>110</v>
      </c>
      <c r="R69" s="51">
        <v>1</v>
      </c>
      <c r="S69" s="51">
        <v>1</v>
      </c>
      <c r="T69" s="53">
        <f t="shared" si="3"/>
        <v>1</v>
      </c>
      <c r="AC69"/>
      <c r="AD69"/>
      <c r="AE69"/>
      <c r="AF69"/>
      <c r="AG69"/>
      <c r="AH69"/>
      <c r="AI69"/>
      <c r="AJ69"/>
      <c r="AK69"/>
      <c r="AL69"/>
      <c r="AM69"/>
      <c r="AN69"/>
    </row>
    <row r="70" spans="2:40" x14ac:dyDescent="0.25">
      <c r="B70" s="52" t="s">
        <v>64</v>
      </c>
      <c r="C70" s="51">
        <v>1</v>
      </c>
      <c r="E70" s="51">
        <v>1</v>
      </c>
      <c r="L70" s="52" t="s">
        <v>109</v>
      </c>
      <c r="M70" s="51">
        <v>1</v>
      </c>
      <c r="N70"/>
      <c r="O70"/>
      <c r="P70"/>
      <c r="Q70" s="52" t="s">
        <v>111</v>
      </c>
      <c r="R70" s="51">
        <v>1</v>
      </c>
      <c r="S70" s="51">
        <v>1</v>
      </c>
      <c r="T70" s="53">
        <f t="shared" si="3"/>
        <v>1</v>
      </c>
      <c r="AC70"/>
      <c r="AD70"/>
      <c r="AE70"/>
      <c r="AF70"/>
      <c r="AG70"/>
      <c r="AH70"/>
      <c r="AI70"/>
      <c r="AJ70"/>
      <c r="AK70"/>
      <c r="AL70"/>
      <c r="AM70"/>
      <c r="AN70"/>
    </row>
    <row r="71" spans="2:40" x14ac:dyDescent="0.25">
      <c r="B71" s="52" t="s">
        <v>94</v>
      </c>
      <c r="D71" s="51">
        <v>10</v>
      </c>
      <c r="E71" s="51">
        <v>10</v>
      </c>
      <c r="L71" s="52" t="s">
        <v>110</v>
      </c>
      <c r="M71" s="51">
        <v>1</v>
      </c>
      <c r="N71"/>
      <c r="O71"/>
      <c r="P71"/>
      <c r="Q71" s="52" t="s">
        <v>112</v>
      </c>
      <c r="R71" s="51">
        <v>1</v>
      </c>
      <c r="S71" s="51">
        <v>1</v>
      </c>
      <c r="T71" s="53">
        <f t="shared" si="3"/>
        <v>1</v>
      </c>
      <c r="AC71"/>
      <c r="AD71"/>
      <c r="AE71"/>
      <c r="AF71"/>
      <c r="AG71"/>
      <c r="AH71"/>
      <c r="AI71"/>
      <c r="AJ71"/>
      <c r="AK71"/>
      <c r="AL71"/>
      <c r="AM71"/>
      <c r="AN71"/>
    </row>
    <row r="72" spans="2:40" x14ac:dyDescent="0.25">
      <c r="B72" s="52" t="s">
        <v>95</v>
      </c>
      <c r="D72" s="51">
        <v>1</v>
      </c>
      <c r="E72" s="51">
        <v>1</v>
      </c>
      <c r="L72" s="52" t="s">
        <v>111</v>
      </c>
      <c r="M72" s="51">
        <v>1</v>
      </c>
      <c r="N72"/>
      <c r="O72"/>
      <c r="P72"/>
      <c r="Q72" s="52" t="s">
        <v>113</v>
      </c>
      <c r="R72" s="51">
        <v>1</v>
      </c>
      <c r="S72" s="51">
        <v>1</v>
      </c>
      <c r="T72" s="53">
        <f t="shared" si="3"/>
        <v>1</v>
      </c>
      <c r="AC72"/>
      <c r="AD72"/>
      <c r="AE72"/>
      <c r="AF72"/>
      <c r="AG72"/>
      <c r="AH72"/>
      <c r="AI72"/>
      <c r="AJ72"/>
      <c r="AK72"/>
      <c r="AL72"/>
      <c r="AM72"/>
      <c r="AN72"/>
    </row>
    <row r="73" spans="2:40" x14ac:dyDescent="0.25">
      <c r="B73" s="52" t="s">
        <v>66</v>
      </c>
      <c r="C73" s="51">
        <v>1</v>
      </c>
      <c r="E73" s="51">
        <v>1</v>
      </c>
      <c r="L73" s="52" t="s">
        <v>112</v>
      </c>
      <c r="M73" s="51">
        <v>1</v>
      </c>
      <c r="N73"/>
      <c r="O73"/>
      <c r="P73"/>
      <c r="Q73" s="52" t="s">
        <v>114</v>
      </c>
      <c r="R73" s="51">
        <v>1</v>
      </c>
      <c r="S73" s="51">
        <v>1</v>
      </c>
      <c r="T73" s="53">
        <f t="shared" si="3"/>
        <v>1</v>
      </c>
      <c r="AC73"/>
      <c r="AD73"/>
      <c r="AE73"/>
      <c r="AF73"/>
      <c r="AG73"/>
      <c r="AH73"/>
      <c r="AI73"/>
      <c r="AJ73"/>
      <c r="AK73"/>
      <c r="AL73"/>
      <c r="AM73"/>
      <c r="AN73"/>
    </row>
    <row r="74" spans="2:40" x14ac:dyDescent="0.25">
      <c r="B74" s="52" t="s">
        <v>68</v>
      </c>
      <c r="C74" s="51">
        <v>2</v>
      </c>
      <c r="E74" s="51">
        <v>2</v>
      </c>
      <c r="L74" s="52" t="s">
        <v>113</v>
      </c>
      <c r="M74" s="51">
        <v>1</v>
      </c>
      <c r="N74"/>
      <c r="O74"/>
      <c r="P74"/>
      <c r="Q74" s="52" t="s">
        <v>115</v>
      </c>
      <c r="R74" s="51">
        <v>1</v>
      </c>
      <c r="S74" s="51">
        <v>1</v>
      </c>
      <c r="T74" s="53">
        <f t="shared" si="3"/>
        <v>1</v>
      </c>
      <c r="AC74"/>
      <c r="AD74"/>
      <c r="AE74"/>
      <c r="AF74"/>
      <c r="AG74"/>
      <c r="AH74"/>
      <c r="AI74"/>
      <c r="AJ74"/>
      <c r="AK74"/>
      <c r="AL74"/>
      <c r="AM74"/>
      <c r="AN74"/>
    </row>
    <row r="75" spans="2:40" x14ac:dyDescent="0.25">
      <c r="B75" s="52" t="s">
        <v>96</v>
      </c>
      <c r="C75" s="51">
        <v>1</v>
      </c>
      <c r="E75" s="51">
        <v>1</v>
      </c>
      <c r="L75" s="52" t="s">
        <v>114</v>
      </c>
      <c r="M75" s="51">
        <v>1</v>
      </c>
      <c r="N75"/>
      <c r="O75"/>
      <c r="P75"/>
      <c r="Q75" s="52" t="s">
        <v>116</v>
      </c>
      <c r="R75" s="51">
        <v>1</v>
      </c>
      <c r="S75" s="51">
        <v>1</v>
      </c>
      <c r="T75" s="53">
        <f t="shared" si="3"/>
        <v>1</v>
      </c>
      <c r="W75" s="51">
        <v>1</v>
      </c>
      <c r="X75" s="51">
        <v>1</v>
      </c>
      <c r="Y75" s="51">
        <v>1</v>
      </c>
      <c r="Z75" s="51">
        <v>1</v>
      </c>
      <c r="AC75"/>
      <c r="AD75"/>
      <c r="AE75"/>
      <c r="AF75"/>
      <c r="AG75"/>
      <c r="AH75"/>
      <c r="AI75"/>
      <c r="AJ75"/>
      <c r="AK75"/>
      <c r="AL75"/>
      <c r="AM75"/>
      <c r="AN75"/>
    </row>
    <row r="76" spans="2:40" x14ac:dyDescent="0.25">
      <c r="B76" s="52" t="s">
        <v>97</v>
      </c>
      <c r="C76" s="51">
        <v>1</v>
      </c>
      <c r="E76" s="51">
        <v>1</v>
      </c>
      <c r="L76" s="52" t="s">
        <v>115</v>
      </c>
      <c r="M76" s="51">
        <v>1</v>
      </c>
      <c r="N76"/>
      <c r="O76"/>
      <c r="P76"/>
      <c r="Q76" s="52" t="s">
        <v>117</v>
      </c>
      <c r="R76" s="51">
        <v>25</v>
      </c>
      <c r="S76" s="51">
        <v>25</v>
      </c>
      <c r="T76" s="53">
        <f t="shared" si="3"/>
        <v>1</v>
      </c>
      <c r="U76" s="51">
        <v>2</v>
      </c>
      <c r="V76" s="51">
        <v>1</v>
      </c>
      <c r="AC76"/>
      <c r="AD76"/>
      <c r="AE76"/>
      <c r="AF76"/>
      <c r="AG76"/>
      <c r="AH76"/>
      <c r="AI76"/>
      <c r="AJ76"/>
      <c r="AK76"/>
      <c r="AL76"/>
      <c r="AM76"/>
      <c r="AN76"/>
    </row>
    <row r="77" spans="2:40" x14ac:dyDescent="0.25">
      <c r="B77" s="52" t="s">
        <v>70</v>
      </c>
      <c r="C77" s="51">
        <v>1</v>
      </c>
      <c r="E77" s="51">
        <v>1</v>
      </c>
      <c r="L77" s="52" t="s">
        <v>116</v>
      </c>
      <c r="M77" s="51">
        <v>1</v>
      </c>
      <c r="N77"/>
      <c r="O77"/>
      <c r="P77"/>
      <c r="Q77" s="52" t="s">
        <v>118</v>
      </c>
      <c r="R77" s="51">
        <v>1</v>
      </c>
      <c r="S77" s="51">
        <v>1</v>
      </c>
      <c r="T77" s="53">
        <f t="shared" si="3"/>
        <v>1</v>
      </c>
      <c r="AC77"/>
      <c r="AD77"/>
      <c r="AE77"/>
      <c r="AF77"/>
      <c r="AG77"/>
      <c r="AH77"/>
      <c r="AI77"/>
      <c r="AJ77"/>
      <c r="AK77"/>
      <c r="AL77"/>
      <c r="AM77"/>
      <c r="AN77"/>
    </row>
    <row r="78" spans="2:40" x14ac:dyDescent="0.25">
      <c r="B78" s="52" t="s">
        <v>98</v>
      </c>
      <c r="C78" s="51">
        <v>1</v>
      </c>
      <c r="E78" s="51">
        <v>1</v>
      </c>
      <c r="L78" s="52" t="s">
        <v>117</v>
      </c>
      <c r="M78" s="51">
        <v>25</v>
      </c>
      <c r="N78"/>
      <c r="O78"/>
      <c r="P78"/>
      <c r="Q78" s="52" t="s">
        <v>119</v>
      </c>
      <c r="R78" s="51">
        <v>1</v>
      </c>
      <c r="S78" s="51">
        <v>1</v>
      </c>
      <c r="T78" s="53">
        <f t="shared" si="3"/>
        <v>1</v>
      </c>
      <c r="AC78"/>
      <c r="AD78"/>
      <c r="AE78"/>
      <c r="AF78"/>
      <c r="AG78"/>
      <c r="AH78"/>
      <c r="AI78"/>
      <c r="AJ78"/>
      <c r="AK78"/>
      <c r="AL78"/>
      <c r="AM78"/>
      <c r="AN78"/>
    </row>
    <row r="79" spans="2:40" x14ac:dyDescent="0.25">
      <c r="B79" s="52" t="s">
        <v>72</v>
      </c>
      <c r="C79" s="51">
        <v>1</v>
      </c>
      <c r="E79" s="51">
        <v>1</v>
      </c>
      <c r="L79" s="52" t="s">
        <v>118</v>
      </c>
      <c r="M79" s="51">
        <v>1</v>
      </c>
      <c r="N79"/>
      <c r="O79"/>
      <c r="P79"/>
      <c r="Q79" s="52" t="s">
        <v>120</v>
      </c>
      <c r="R79" s="51">
        <v>1</v>
      </c>
      <c r="S79" s="51">
        <v>1</v>
      </c>
      <c r="T79" s="53">
        <f t="shared" si="3"/>
        <v>1</v>
      </c>
      <c r="W79" s="51">
        <v>1</v>
      </c>
      <c r="X79" s="51">
        <v>1</v>
      </c>
      <c r="Y79" s="51">
        <v>1</v>
      </c>
      <c r="Z79" s="51">
        <v>1</v>
      </c>
      <c r="AC79"/>
      <c r="AD79"/>
      <c r="AE79"/>
      <c r="AF79"/>
      <c r="AG79"/>
      <c r="AH79"/>
      <c r="AI79"/>
      <c r="AJ79"/>
      <c r="AK79"/>
      <c r="AL79"/>
      <c r="AM79"/>
      <c r="AN79"/>
    </row>
    <row r="80" spans="2:40" x14ac:dyDescent="0.25">
      <c r="B80" s="52" t="s">
        <v>74</v>
      </c>
      <c r="C80" s="51">
        <v>1</v>
      </c>
      <c r="E80" s="51">
        <v>1</v>
      </c>
      <c r="L80" s="52" t="s">
        <v>119</v>
      </c>
      <c r="M80" s="51">
        <v>1</v>
      </c>
      <c r="N80"/>
      <c r="O80"/>
      <c r="P80"/>
      <c r="Q80" s="52" t="s">
        <v>121</v>
      </c>
      <c r="R80" s="51">
        <v>1</v>
      </c>
      <c r="S80" s="51">
        <v>1</v>
      </c>
      <c r="T80" s="53">
        <f t="shared" si="3"/>
        <v>1</v>
      </c>
      <c r="AC80"/>
      <c r="AD80"/>
      <c r="AE80"/>
      <c r="AF80"/>
      <c r="AG80"/>
      <c r="AH80"/>
      <c r="AI80"/>
      <c r="AJ80"/>
      <c r="AK80"/>
      <c r="AL80"/>
      <c r="AM80"/>
      <c r="AN80"/>
    </row>
    <row r="81" spans="2:40" x14ac:dyDescent="0.25">
      <c r="B81" s="52" t="s">
        <v>99</v>
      </c>
      <c r="C81" s="51">
        <v>1</v>
      </c>
      <c r="E81" s="51">
        <v>1</v>
      </c>
      <c r="L81" s="52" t="s">
        <v>120</v>
      </c>
      <c r="M81" s="51">
        <v>1</v>
      </c>
      <c r="N81"/>
      <c r="O81"/>
      <c r="P81"/>
      <c r="Q81" s="52" t="s">
        <v>122</v>
      </c>
      <c r="R81" s="51">
        <v>1</v>
      </c>
      <c r="S81" s="51">
        <v>1</v>
      </c>
      <c r="T81" s="53">
        <f t="shared" si="3"/>
        <v>1</v>
      </c>
      <c r="AC81"/>
      <c r="AD81"/>
      <c r="AE81"/>
      <c r="AF81"/>
      <c r="AG81"/>
      <c r="AH81"/>
      <c r="AI81"/>
      <c r="AJ81"/>
      <c r="AK81"/>
      <c r="AL81"/>
      <c r="AM81"/>
      <c r="AN81"/>
    </row>
    <row r="82" spans="2:40" x14ac:dyDescent="0.25">
      <c r="B82" s="52" t="s">
        <v>100</v>
      </c>
      <c r="C82" s="51">
        <v>1</v>
      </c>
      <c r="E82" s="51">
        <v>1</v>
      </c>
      <c r="L82" s="52" t="s">
        <v>121</v>
      </c>
      <c r="M82" s="51">
        <v>1</v>
      </c>
      <c r="N82"/>
      <c r="O82"/>
      <c r="P82"/>
      <c r="Q82" s="52" t="s">
        <v>123</v>
      </c>
      <c r="R82" s="51">
        <v>1</v>
      </c>
      <c r="S82" s="51">
        <v>1</v>
      </c>
      <c r="T82" s="53">
        <f t="shared" si="3"/>
        <v>1</v>
      </c>
      <c r="AC82"/>
      <c r="AD82"/>
      <c r="AE82"/>
      <c r="AF82"/>
      <c r="AG82"/>
      <c r="AH82"/>
      <c r="AI82"/>
      <c r="AJ82"/>
      <c r="AK82"/>
      <c r="AL82"/>
      <c r="AM82"/>
      <c r="AN82"/>
    </row>
    <row r="83" spans="2:40" x14ac:dyDescent="0.25">
      <c r="B83" s="52" t="s">
        <v>75</v>
      </c>
      <c r="C83" s="51">
        <v>1</v>
      </c>
      <c r="E83" s="51">
        <v>1</v>
      </c>
      <c r="L83" s="52" t="s">
        <v>122</v>
      </c>
      <c r="M83" s="51">
        <v>1</v>
      </c>
      <c r="N83"/>
      <c r="O83"/>
      <c r="P83"/>
      <c r="Q83" s="52" t="s">
        <v>54</v>
      </c>
      <c r="R83" s="51">
        <v>1</v>
      </c>
      <c r="S83" s="51">
        <v>2</v>
      </c>
      <c r="T83" s="53">
        <f t="shared" si="3"/>
        <v>2</v>
      </c>
      <c r="AC83"/>
      <c r="AD83"/>
      <c r="AE83"/>
      <c r="AF83"/>
      <c r="AG83"/>
      <c r="AH83"/>
      <c r="AI83"/>
      <c r="AJ83"/>
      <c r="AK83"/>
      <c r="AL83"/>
      <c r="AM83"/>
      <c r="AN83"/>
    </row>
    <row r="84" spans="2:40" x14ac:dyDescent="0.25">
      <c r="B84" s="52" t="s">
        <v>77</v>
      </c>
      <c r="D84" s="51">
        <v>1</v>
      </c>
      <c r="E84" s="51">
        <v>1</v>
      </c>
      <c r="L84" s="52" t="s">
        <v>123</v>
      </c>
      <c r="M84" s="51">
        <v>1</v>
      </c>
      <c r="N84"/>
      <c r="O84"/>
      <c r="P84"/>
      <c r="Q84" s="52" t="s">
        <v>105</v>
      </c>
      <c r="R84" s="51">
        <v>1</v>
      </c>
      <c r="S84" s="51">
        <v>2</v>
      </c>
      <c r="T84" s="53">
        <f t="shared" si="3"/>
        <v>2</v>
      </c>
      <c r="AC84"/>
      <c r="AD84"/>
      <c r="AE84"/>
      <c r="AF84"/>
      <c r="AG84"/>
      <c r="AH84"/>
      <c r="AI84"/>
      <c r="AJ84"/>
      <c r="AK84"/>
      <c r="AL84"/>
      <c r="AM84"/>
      <c r="AN84"/>
    </row>
    <row r="85" spans="2:40" x14ac:dyDescent="0.25">
      <c r="B85" s="52" t="s">
        <v>79</v>
      </c>
      <c r="D85" s="51">
        <v>1</v>
      </c>
      <c r="E85" s="51">
        <v>1</v>
      </c>
      <c r="L85" s="52" t="s">
        <v>61</v>
      </c>
      <c r="M85" s="51">
        <v>198</v>
      </c>
      <c r="N85"/>
      <c r="O85"/>
      <c r="P85"/>
      <c r="AC85"/>
      <c r="AD85"/>
      <c r="AE85"/>
      <c r="AF85"/>
      <c r="AG85"/>
      <c r="AH85"/>
      <c r="AI85"/>
      <c r="AJ85"/>
      <c r="AK85"/>
      <c r="AL85"/>
      <c r="AM85"/>
      <c r="AN85"/>
    </row>
    <row r="86" spans="2:40" x14ac:dyDescent="0.25">
      <c r="B86" s="52" t="s">
        <v>81</v>
      </c>
      <c r="C86" s="51">
        <v>1</v>
      </c>
      <c r="E86" s="51">
        <v>1</v>
      </c>
      <c r="L86"/>
      <c r="M86"/>
      <c r="N86"/>
      <c r="O86"/>
      <c r="P86"/>
      <c r="AC86"/>
      <c r="AD86"/>
      <c r="AE86"/>
      <c r="AF86"/>
      <c r="AG86"/>
      <c r="AH86"/>
      <c r="AI86"/>
      <c r="AJ86"/>
      <c r="AK86"/>
      <c r="AL86"/>
      <c r="AM86"/>
      <c r="AN86"/>
    </row>
    <row r="87" spans="2:40" x14ac:dyDescent="0.25">
      <c r="B87" s="52" t="s">
        <v>101</v>
      </c>
      <c r="C87" s="51">
        <v>1</v>
      </c>
      <c r="E87" s="51">
        <v>1</v>
      </c>
      <c r="AC87"/>
      <c r="AD87"/>
      <c r="AE87"/>
      <c r="AF87"/>
      <c r="AG87"/>
      <c r="AH87"/>
      <c r="AI87"/>
      <c r="AJ87"/>
      <c r="AK87"/>
      <c r="AL87"/>
      <c r="AM87"/>
      <c r="AN87"/>
    </row>
    <row r="88" spans="2:40" x14ac:dyDescent="0.25">
      <c r="B88" s="52" t="s">
        <v>102</v>
      </c>
      <c r="C88" s="51">
        <v>1</v>
      </c>
      <c r="E88" s="51">
        <v>1</v>
      </c>
      <c r="AC88"/>
      <c r="AD88"/>
      <c r="AE88"/>
      <c r="AF88"/>
      <c r="AG88"/>
      <c r="AH88"/>
      <c r="AI88"/>
      <c r="AJ88"/>
      <c r="AK88"/>
      <c r="AL88"/>
      <c r="AM88"/>
      <c r="AN88"/>
    </row>
    <row r="89" spans="2:40" x14ac:dyDescent="0.25">
      <c r="B89" s="52" t="s">
        <v>82</v>
      </c>
      <c r="C89" s="51">
        <v>1</v>
      </c>
      <c r="E89" s="51">
        <v>1</v>
      </c>
      <c r="AC89"/>
      <c r="AD89"/>
      <c r="AE89"/>
      <c r="AF89"/>
      <c r="AG89"/>
      <c r="AH89"/>
      <c r="AI89"/>
      <c r="AJ89"/>
      <c r="AK89"/>
      <c r="AL89"/>
      <c r="AM89"/>
      <c r="AN89"/>
    </row>
    <row r="90" spans="2:40" x14ac:dyDescent="0.25">
      <c r="B90" s="52" t="s">
        <v>103</v>
      </c>
      <c r="D90" s="51">
        <v>1</v>
      </c>
      <c r="E90" s="51">
        <v>1</v>
      </c>
      <c r="AC90"/>
      <c r="AD90"/>
      <c r="AE90"/>
      <c r="AF90"/>
      <c r="AG90"/>
      <c r="AH90"/>
      <c r="AI90"/>
      <c r="AJ90"/>
      <c r="AK90"/>
      <c r="AL90"/>
      <c r="AM90"/>
      <c r="AN90"/>
    </row>
    <row r="91" spans="2:40" x14ac:dyDescent="0.25">
      <c r="B91" s="52" t="s">
        <v>104</v>
      </c>
      <c r="C91" s="51">
        <v>1</v>
      </c>
      <c r="E91" s="51">
        <v>1</v>
      </c>
      <c r="AC91"/>
      <c r="AD91"/>
      <c r="AE91"/>
      <c r="AF91"/>
      <c r="AG91"/>
      <c r="AH91"/>
      <c r="AI91"/>
      <c r="AJ91"/>
      <c r="AK91"/>
      <c r="AL91"/>
      <c r="AM91"/>
      <c r="AN91"/>
    </row>
    <row r="92" spans="2:40" x14ac:dyDescent="0.25">
      <c r="B92" s="52" t="s">
        <v>105</v>
      </c>
      <c r="C92" s="51">
        <v>1</v>
      </c>
      <c r="E92" s="51">
        <v>1</v>
      </c>
      <c r="AC92"/>
      <c r="AD92"/>
      <c r="AE92"/>
      <c r="AF92"/>
      <c r="AG92"/>
      <c r="AH92"/>
      <c r="AI92"/>
      <c r="AJ92"/>
    </row>
    <row r="93" spans="2:40" x14ac:dyDescent="0.25">
      <c r="B93" s="52" t="s">
        <v>106</v>
      </c>
      <c r="C93" s="51">
        <v>1</v>
      </c>
      <c r="D93" s="51">
        <v>2</v>
      </c>
      <c r="E93" s="51">
        <v>3</v>
      </c>
      <c r="AC93"/>
      <c r="AD93"/>
      <c r="AE93"/>
      <c r="AF93"/>
      <c r="AG93"/>
      <c r="AH93"/>
      <c r="AI93"/>
      <c r="AJ93"/>
    </row>
    <row r="94" spans="2:40" x14ac:dyDescent="0.25">
      <c r="B94" s="52" t="s">
        <v>107</v>
      </c>
      <c r="D94" s="51">
        <v>1</v>
      </c>
      <c r="E94" s="51">
        <v>1</v>
      </c>
      <c r="AC94"/>
      <c r="AD94"/>
      <c r="AE94"/>
      <c r="AF94"/>
      <c r="AG94"/>
      <c r="AH94"/>
      <c r="AI94"/>
      <c r="AJ94"/>
    </row>
    <row r="95" spans="2:40" x14ac:dyDescent="0.25">
      <c r="B95" s="52" t="s">
        <v>108</v>
      </c>
      <c r="D95" s="51">
        <v>1.25</v>
      </c>
      <c r="E95" s="51">
        <v>1.25</v>
      </c>
      <c r="AC95"/>
      <c r="AD95"/>
      <c r="AE95"/>
      <c r="AF95"/>
      <c r="AG95"/>
      <c r="AH95"/>
      <c r="AI95"/>
      <c r="AJ95"/>
    </row>
    <row r="96" spans="2:40" x14ac:dyDescent="0.25">
      <c r="B96" s="52" t="s">
        <v>83</v>
      </c>
      <c r="C96" s="51">
        <v>1</v>
      </c>
      <c r="E96" s="51">
        <v>1</v>
      </c>
      <c r="AC96"/>
      <c r="AD96"/>
      <c r="AE96"/>
      <c r="AF96"/>
      <c r="AG96"/>
      <c r="AH96"/>
      <c r="AI96"/>
      <c r="AJ96"/>
    </row>
    <row r="97" spans="2:36" x14ac:dyDescent="0.25">
      <c r="B97" s="52" t="s">
        <v>109</v>
      </c>
      <c r="C97" s="51">
        <v>1</v>
      </c>
      <c r="E97" s="51">
        <v>1</v>
      </c>
      <c r="AC97"/>
      <c r="AD97"/>
      <c r="AE97"/>
      <c r="AF97"/>
      <c r="AG97"/>
      <c r="AH97"/>
      <c r="AI97"/>
      <c r="AJ97"/>
    </row>
    <row r="98" spans="2:36" x14ac:dyDescent="0.25">
      <c r="B98" s="52" t="s">
        <v>110</v>
      </c>
      <c r="C98" s="51">
        <v>1</v>
      </c>
      <c r="E98" s="51">
        <v>1</v>
      </c>
      <c r="AC98"/>
      <c r="AD98"/>
      <c r="AE98"/>
      <c r="AF98"/>
      <c r="AG98"/>
      <c r="AH98"/>
      <c r="AI98"/>
      <c r="AJ98"/>
    </row>
    <row r="99" spans="2:36" x14ac:dyDescent="0.25">
      <c r="B99" s="52" t="s">
        <v>111</v>
      </c>
      <c r="C99" s="51">
        <v>1</v>
      </c>
      <c r="E99" s="51">
        <v>1</v>
      </c>
      <c r="AC99"/>
      <c r="AD99"/>
      <c r="AE99"/>
      <c r="AF99"/>
      <c r="AG99"/>
      <c r="AH99"/>
      <c r="AI99"/>
      <c r="AJ99"/>
    </row>
    <row r="100" spans="2:36" x14ac:dyDescent="0.25">
      <c r="B100" s="52" t="s">
        <v>112</v>
      </c>
      <c r="C100" s="51">
        <v>1</v>
      </c>
      <c r="E100" s="51">
        <v>1</v>
      </c>
      <c r="AC100"/>
      <c r="AD100"/>
      <c r="AE100"/>
      <c r="AF100"/>
      <c r="AG100"/>
      <c r="AH100"/>
      <c r="AI100"/>
      <c r="AJ100"/>
    </row>
    <row r="101" spans="2:36" x14ac:dyDescent="0.25">
      <c r="B101" s="52" t="s">
        <v>113</v>
      </c>
      <c r="C101" s="51">
        <v>1</v>
      </c>
      <c r="E101" s="51">
        <v>1</v>
      </c>
      <c r="AC101"/>
      <c r="AD101"/>
      <c r="AE101"/>
      <c r="AF101"/>
      <c r="AG101"/>
      <c r="AH101"/>
      <c r="AI101"/>
      <c r="AJ101"/>
    </row>
    <row r="102" spans="2:36" x14ac:dyDescent="0.25">
      <c r="B102" s="52" t="s">
        <v>114</v>
      </c>
      <c r="C102" s="51">
        <v>1</v>
      </c>
      <c r="E102" s="51">
        <v>1</v>
      </c>
      <c r="AC102"/>
      <c r="AD102"/>
      <c r="AE102"/>
      <c r="AF102"/>
      <c r="AG102"/>
      <c r="AH102"/>
      <c r="AI102"/>
      <c r="AJ102"/>
    </row>
    <row r="103" spans="2:36" x14ac:dyDescent="0.25">
      <c r="B103" s="52" t="s">
        <v>115</v>
      </c>
      <c r="C103" s="51">
        <v>1</v>
      </c>
      <c r="E103" s="51">
        <v>1</v>
      </c>
      <c r="AC103"/>
      <c r="AD103"/>
      <c r="AE103"/>
      <c r="AF103"/>
      <c r="AG103"/>
      <c r="AH103"/>
      <c r="AI103"/>
      <c r="AJ103"/>
    </row>
    <row r="104" spans="2:36" x14ac:dyDescent="0.25">
      <c r="B104" s="52" t="s">
        <v>116</v>
      </c>
      <c r="D104" s="51">
        <v>1</v>
      </c>
      <c r="E104" s="51">
        <v>1</v>
      </c>
      <c r="AC104"/>
      <c r="AD104"/>
      <c r="AE104"/>
      <c r="AF104"/>
      <c r="AG104"/>
      <c r="AH104"/>
      <c r="AI104"/>
      <c r="AJ104"/>
    </row>
    <row r="105" spans="2:36" x14ac:dyDescent="0.25">
      <c r="B105" s="52" t="s">
        <v>117</v>
      </c>
      <c r="D105" s="51">
        <v>25</v>
      </c>
      <c r="E105" s="51">
        <v>25</v>
      </c>
      <c r="AC105"/>
      <c r="AD105"/>
      <c r="AE105"/>
      <c r="AF105"/>
      <c r="AG105"/>
      <c r="AH105"/>
      <c r="AI105"/>
      <c r="AJ105"/>
    </row>
    <row r="106" spans="2:36" x14ac:dyDescent="0.25">
      <c r="B106" s="52" t="s">
        <v>118</v>
      </c>
      <c r="C106" s="51">
        <v>1</v>
      </c>
      <c r="E106" s="51">
        <v>1</v>
      </c>
      <c r="AC106"/>
      <c r="AD106"/>
      <c r="AE106"/>
      <c r="AF106"/>
      <c r="AG106"/>
      <c r="AH106"/>
      <c r="AI106"/>
      <c r="AJ106"/>
    </row>
    <row r="107" spans="2:36" x14ac:dyDescent="0.25">
      <c r="B107" s="52" t="s">
        <v>119</v>
      </c>
      <c r="D107" s="51">
        <v>1</v>
      </c>
      <c r="E107" s="51">
        <v>1</v>
      </c>
      <c r="AC107"/>
      <c r="AD107"/>
      <c r="AE107"/>
      <c r="AF107"/>
      <c r="AG107"/>
      <c r="AH107"/>
      <c r="AI107"/>
      <c r="AJ107"/>
    </row>
    <row r="108" spans="2:36" x14ac:dyDescent="0.25">
      <c r="B108" s="52" t="s">
        <v>120</v>
      </c>
      <c r="D108" s="51">
        <v>1</v>
      </c>
      <c r="E108" s="51">
        <v>1</v>
      </c>
      <c r="AC108"/>
      <c r="AD108"/>
      <c r="AE108"/>
      <c r="AF108"/>
      <c r="AG108"/>
      <c r="AH108"/>
      <c r="AI108"/>
      <c r="AJ108"/>
    </row>
    <row r="109" spans="2:36" x14ac:dyDescent="0.25">
      <c r="B109" s="52" t="s">
        <v>121</v>
      </c>
      <c r="D109" s="51">
        <v>1</v>
      </c>
      <c r="E109" s="51">
        <v>1</v>
      </c>
      <c r="AC109"/>
      <c r="AD109"/>
      <c r="AE109"/>
      <c r="AF109"/>
      <c r="AG109"/>
      <c r="AH109"/>
      <c r="AI109"/>
      <c r="AJ109"/>
    </row>
    <row r="110" spans="2:36" x14ac:dyDescent="0.25">
      <c r="B110" s="52" t="s">
        <v>122</v>
      </c>
      <c r="C110" s="51">
        <v>1</v>
      </c>
      <c r="E110" s="51">
        <v>1</v>
      </c>
      <c r="AC110"/>
      <c r="AD110"/>
      <c r="AE110"/>
      <c r="AF110"/>
      <c r="AG110"/>
      <c r="AH110"/>
      <c r="AI110"/>
      <c r="AJ110"/>
    </row>
    <row r="111" spans="2:36" x14ac:dyDescent="0.25">
      <c r="B111" s="52" t="s">
        <v>123</v>
      </c>
      <c r="C111" s="51">
        <v>1</v>
      </c>
      <c r="E111" s="51">
        <v>1</v>
      </c>
      <c r="AC111"/>
      <c r="AD111"/>
      <c r="AE111"/>
      <c r="AF111"/>
      <c r="AG111"/>
      <c r="AH111"/>
      <c r="AI111"/>
      <c r="AJ111"/>
    </row>
    <row r="112" spans="2:36" x14ac:dyDescent="0.25">
      <c r="B112" s="52" t="s">
        <v>61</v>
      </c>
      <c r="C112" s="51">
        <v>58</v>
      </c>
      <c r="D112" s="51">
        <v>189.25</v>
      </c>
      <c r="E112" s="51">
        <v>247.25</v>
      </c>
      <c r="AC112"/>
      <c r="AD112"/>
      <c r="AE112"/>
      <c r="AF112"/>
      <c r="AG112"/>
      <c r="AH112"/>
      <c r="AI112"/>
      <c r="AJ112"/>
    </row>
    <row r="113" spans="2:36" x14ac:dyDescent="0.25">
      <c r="B113"/>
      <c r="C113"/>
      <c r="AC113"/>
      <c r="AD113"/>
      <c r="AE113"/>
      <c r="AF113"/>
      <c r="AG113"/>
      <c r="AH113"/>
      <c r="AI113"/>
      <c r="AJ113"/>
    </row>
    <row r="114" spans="2:36" x14ac:dyDescent="0.25">
      <c r="B114"/>
      <c r="C114"/>
      <c r="AC114"/>
      <c r="AD114"/>
      <c r="AE114"/>
      <c r="AF114"/>
      <c r="AG114"/>
      <c r="AH114"/>
      <c r="AI114"/>
      <c r="AJ114"/>
    </row>
    <row r="115" spans="2:36" x14ac:dyDescent="0.25">
      <c r="AC115"/>
      <c r="AD115"/>
      <c r="AE115"/>
      <c r="AF115"/>
      <c r="AG115"/>
      <c r="AH115"/>
      <c r="AI115"/>
      <c r="AJ115"/>
    </row>
    <row r="116" spans="2:36" x14ac:dyDescent="0.25">
      <c r="AC116"/>
      <c r="AD116"/>
      <c r="AE116"/>
      <c r="AF116"/>
      <c r="AG116"/>
      <c r="AH116"/>
      <c r="AI116"/>
      <c r="AJ116"/>
    </row>
    <row r="117" spans="2:36" x14ac:dyDescent="0.25">
      <c r="AC117"/>
      <c r="AD117"/>
      <c r="AE117"/>
      <c r="AF117"/>
      <c r="AG117"/>
      <c r="AH117"/>
      <c r="AI117"/>
      <c r="AJ117"/>
    </row>
    <row r="118" spans="2:36" x14ac:dyDescent="0.25">
      <c r="AC118"/>
      <c r="AD118"/>
      <c r="AE118"/>
      <c r="AF118"/>
      <c r="AG118"/>
      <c r="AH118"/>
      <c r="AI118"/>
      <c r="AJ118"/>
    </row>
    <row r="119" spans="2:36" x14ac:dyDescent="0.25">
      <c r="AC119"/>
      <c r="AD119"/>
      <c r="AE119"/>
      <c r="AF119"/>
      <c r="AG119"/>
      <c r="AH119"/>
      <c r="AI119"/>
      <c r="AJ119"/>
    </row>
    <row r="120" spans="2:36" x14ac:dyDescent="0.25">
      <c r="AC120"/>
      <c r="AD120"/>
      <c r="AE120"/>
      <c r="AF120"/>
      <c r="AG120"/>
      <c r="AH120"/>
      <c r="AI120"/>
      <c r="AJ120"/>
    </row>
    <row r="121" spans="2:36" x14ac:dyDescent="0.25">
      <c r="AC121"/>
      <c r="AD121"/>
      <c r="AE121"/>
      <c r="AF121"/>
      <c r="AG121"/>
      <c r="AH121"/>
      <c r="AI121"/>
      <c r="AJ121"/>
    </row>
    <row r="122" spans="2:36" x14ac:dyDescent="0.25">
      <c r="AC122"/>
      <c r="AD122"/>
      <c r="AE122"/>
      <c r="AF122"/>
      <c r="AG122"/>
      <c r="AH122"/>
      <c r="AI122"/>
      <c r="AJ122"/>
    </row>
    <row r="123" spans="2:36" x14ac:dyDescent="0.25">
      <c r="AC123"/>
      <c r="AD123"/>
      <c r="AE123"/>
      <c r="AF123"/>
      <c r="AG123"/>
      <c r="AH123"/>
      <c r="AI123"/>
      <c r="AJ123"/>
    </row>
    <row r="124" spans="2:36" x14ac:dyDescent="0.25">
      <c r="AC124"/>
      <c r="AD124"/>
      <c r="AE124"/>
      <c r="AF124"/>
      <c r="AG124"/>
      <c r="AH124"/>
      <c r="AI124"/>
      <c r="AJ124"/>
    </row>
    <row r="125" spans="2:36" x14ac:dyDescent="0.25">
      <c r="AC125"/>
      <c r="AD125"/>
      <c r="AE125"/>
      <c r="AF125"/>
      <c r="AG125"/>
      <c r="AH125"/>
      <c r="AI125"/>
      <c r="AJ125"/>
    </row>
    <row r="126" spans="2:36" x14ac:dyDescent="0.25">
      <c r="AC126"/>
      <c r="AD126"/>
      <c r="AE126"/>
      <c r="AF126"/>
      <c r="AG126"/>
      <c r="AH126"/>
      <c r="AI126"/>
      <c r="AJ126"/>
    </row>
    <row r="127" spans="2:36" x14ac:dyDescent="0.25">
      <c r="AC127"/>
      <c r="AD127"/>
      <c r="AE127"/>
      <c r="AF127"/>
      <c r="AG127"/>
      <c r="AH127"/>
      <c r="AI127"/>
      <c r="AJ127"/>
    </row>
    <row r="128" spans="2:36" x14ac:dyDescent="0.25">
      <c r="AC128"/>
      <c r="AD128"/>
      <c r="AE128"/>
      <c r="AF128"/>
      <c r="AG128"/>
      <c r="AH128"/>
      <c r="AI128"/>
      <c r="AJ128"/>
    </row>
    <row r="129" spans="29:36" x14ac:dyDescent="0.25">
      <c r="AC129"/>
      <c r="AD129"/>
      <c r="AE129"/>
      <c r="AF129"/>
      <c r="AG129"/>
      <c r="AH129"/>
      <c r="AI129"/>
      <c r="AJ129"/>
    </row>
    <row r="130" spans="29:36" x14ac:dyDescent="0.25">
      <c r="AC130"/>
      <c r="AD130"/>
      <c r="AE130"/>
      <c r="AF130"/>
      <c r="AG130"/>
      <c r="AH130"/>
      <c r="AI130"/>
      <c r="AJ130"/>
    </row>
    <row r="131" spans="29:36" x14ac:dyDescent="0.25">
      <c r="AC131"/>
      <c r="AD131"/>
      <c r="AE131"/>
      <c r="AF131"/>
      <c r="AG131"/>
      <c r="AH131"/>
      <c r="AI131"/>
      <c r="AJ131"/>
    </row>
    <row r="132" spans="29:36" x14ac:dyDescent="0.25">
      <c r="AC132"/>
      <c r="AD132"/>
      <c r="AE132"/>
      <c r="AF132"/>
      <c r="AG132"/>
      <c r="AH132"/>
      <c r="AI132"/>
      <c r="AJ132"/>
    </row>
    <row r="133" spans="29:36" x14ac:dyDescent="0.25">
      <c r="AC133"/>
      <c r="AD133"/>
      <c r="AE133"/>
      <c r="AF133"/>
      <c r="AG133"/>
      <c r="AH133"/>
      <c r="AI133"/>
      <c r="AJ133"/>
    </row>
    <row r="134" spans="29:36" x14ac:dyDescent="0.25">
      <c r="AC134"/>
      <c r="AD134"/>
      <c r="AE134"/>
      <c r="AF134"/>
      <c r="AG134"/>
      <c r="AH134"/>
      <c r="AI134"/>
      <c r="AJ134"/>
    </row>
    <row r="135" spans="29:36" x14ac:dyDescent="0.25">
      <c r="AC135"/>
      <c r="AD135"/>
      <c r="AE135"/>
      <c r="AF135"/>
      <c r="AG135"/>
      <c r="AH135"/>
      <c r="AI135"/>
      <c r="AJ135"/>
    </row>
    <row r="136" spans="29:36" x14ac:dyDescent="0.25">
      <c r="AC136"/>
      <c r="AD136"/>
      <c r="AE136"/>
      <c r="AF136"/>
      <c r="AG136"/>
      <c r="AH136"/>
      <c r="AI136"/>
      <c r="AJ136"/>
    </row>
    <row r="137" spans="29:36" x14ac:dyDescent="0.25">
      <c r="AC137"/>
      <c r="AD137"/>
      <c r="AE137"/>
      <c r="AF137"/>
      <c r="AG137"/>
      <c r="AH137"/>
      <c r="AI137"/>
      <c r="AJ137"/>
    </row>
    <row r="138" spans="29:36" x14ac:dyDescent="0.25">
      <c r="AC138"/>
      <c r="AD138"/>
      <c r="AE138"/>
      <c r="AF138"/>
      <c r="AG138"/>
      <c r="AH138"/>
      <c r="AI138"/>
      <c r="AJ138"/>
    </row>
    <row r="139" spans="29:36" x14ac:dyDescent="0.25">
      <c r="AC139"/>
      <c r="AD139"/>
      <c r="AE139"/>
      <c r="AF139"/>
      <c r="AG139"/>
      <c r="AH139"/>
      <c r="AI139"/>
      <c r="AJ139"/>
    </row>
    <row r="140" spans="29:36" x14ac:dyDescent="0.25">
      <c r="AC140"/>
      <c r="AD140"/>
      <c r="AE140"/>
      <c r="AF140"/>
      <c r="AG140"/>
      <c r="AH140"/>
      <c r="AI140"/>
      <c r="AJ140"/>
    </row>
    <row r="141" spans="29:36" x14ac:dyDescent="0.25">
      <c r="AC141"/>
      <c r="AD141"/>
      <c r="AE141"/>
      <c r="AF141"/>
      <c r="AG141"/>
      <c r="AH141"/>
      <c r="AI141"/>
      <c r="AJ141"/>
    </row>
    <row r="142" spans="29:36" x14ac:dyDescent="0.25">
      <c r="AC142"/>
      <c r="AD142"/>
      <c r="AE142"/>
      <c r="AF142"/>
      <c r="AG142"/>
      <c r="AH142"/>
      <c r="AI142"/>
      <c r="AJ142"/>
    </row>
    <row r="143" spans="29:36" x14ac:dyDescent="0.25">
      <c r="AC143"/>
      <c r="AD143"/>
      <c r="AE143"/>
      <c r="AF143"/>
      <c r="AG143"/>
      <c r="AH143"/>
      <c r="AI143"/>
      <c r="AJ143"/>
    </row>
    <row r="144" spans="29:36" x14ac:dyDescent="0.25">
      <c r="AC144"/>
      <c r="AD144"/>
      <c r="AE144"/>
      <c r="AF144"/>
      <c r="AG144"/>
      <c r="AH144"/>
      <c r="AI144"/>
      <c r="AJ144"/>
    </row>
    <row r="145" spans="29:36" x14ac:dyDescent="0.25">
      <c r="AC145"/>
      <c r="AD145"/>
      <c r="AE145"/>
      <c r="AF145"/>
      <c r="AG145"/>
      <c r="AH145"/>
      <c r="AI145"/>
      <c r="AJ145"/>
    </row>
    <row r="146" spans="29:36" x14ac:dyDescent="0.25">
      <c r="AC146"/>
      <c r="AD146"/>
      <c r="AE146"/>
      <c r="AF146"/>
      <c r="AG146"/>
      <c r="AH146"/>
      <c r="AI146"/>
      <c r="AJ146"/>
    </row>
    <row r="147" spans="29:36" x14ac:dyDescent="0.25">
      <c r="AC147"/>
      <c r="AD147"/>
      <c r="AE147"/>
      <c r="AF147"/>
      <c r="AG147"/>
      <c r="AH147"/>
      <c r="AI147"/>
      <c r="AJ147"/>
    </row>
    <row r="148" spans="29:36" x14ac:dyDescent="0.25">
      <c r="AC148"/>
      <c r="AD148"/>
      <c r="AE148"/>
      <c r="AF148"/>
      <c r="AG148"/>
      <c r="AH148"/>
      <c r="AI148"/>
      <c r="AJ148"/>
    </row>
    <row r="149" spans="29:36" x14ac:dyDescent="0.25">
      <c r="AC149"/>
      <c r="AD149"/>
      <c r="AE149"/>
      <c r="AF149"/>
      <c r="AG149"/>
      <c r="AH149"/>
      <c r="AI149"/>
      <c r="AJ149"/>
    </row>
    <row r="150" spans="29:36" x14ac:dyDescent="0.25">
      <c r="AC150"/>
      <c r="AD150"/>
      <c r="AE150"/>
      <c r="AF150"/>
      <c r="AG150"/>
      <c r="AH150"/>
      <c r="AI150"/>
      <c r="AJ150"/>
    </row>
    <row r="151" spans="29:36" x14ac:dyDescent="0.25">
      <c r="AC151"/>
      <c r="AD151"/>
      <c r="AE151"/>
      <c r="AF151"/>
      <c r="AG151"/>
      <c r="AH151"/>
      <c r="AI151"/>
      <c r="AJ151"/>
    </row>
    <row r="152" spans="29:36" x14ac:dyDescent="0.25">
      <c r="AC152"/>
      <c r="AD152"/>
      <c r="AE152"/>
      <c r="AF152"/>
      <c r="AG152"/>
      <c r="AH152"/>
      <c r="AI152"/>
      <c r="AJ152"/>
    </row>
    <row r="153" spans="29:36" x14ac:dyDescent="0.25">
      <c r="AC153"/>
      <c r="AD153"/>
      <c r="AE153"/>
      <c r="AF153"/>
      <c r="AG153"/>
      <c r="AH153"/>
      <c r="AI153"/>
      <c r="AJ153"/>
    </row>
    <row r="154" spans="29:36" x14ac:dyDescent="0.25">
      <c r="AC154"/>
      <c r="AD154"/>
      <c r="AE154"/>
      <c r="AF154"/>
      <c r="AG154"/>
      <c r="AH154"/>
      <c r="AI154"/>
      <c r="AJ154"/>
    </row>
    <row r="155" spans="29:36" x14ac:dyDescent="0.25">
      <c r="AC155"/>
      <c r="AD155"/>
      <c r="AE155"/>
      <c r="AF155"/>
      <c r="AG155"/>
      <c r="AH155"/>
      <c r="AI155"/>
      <c r="AJ155"/>
    </row>
    <row r="156" spans="29:36" x14ac:dyDescent="0.25">
      <c r="AC156"/>
      <c r="AD156"/>
      <c r="AE156"/>
      <c r="AF156"/>
      <c r="AG156"/>
      <c r="AH156"/>
      <c r="AI156"/>
      <c r="AJ156"/>
    </row>
    <row r="157" spans="29:36" x14ac:dyDescent="0.25">
      <c r="AC157"/>
      <c r="AD157"/>
      <c r="AE157"/>
      <c r="AF157"/>
      <c r="AG157"/>
      <c r="AH157"/>
      <c r="AI157"/>
      <c r="AJ157"/>
    </row>
    <row r="158" spans="29:36" x14ac:dyDescent="0.25">
      <c r="AC158"/>
      <c r="AD158"/>
      <c r="AE158"/>
      <c r="AF158"/>
      <c r="AG158"/>
      <c r="AH158"/>
      <c r="AI158"/>
      <c r="AJ158"/>
    </row>
    <row r="159" spans="29:36" x14ac:dyDescent="0.25">
      <c r="AC159"/>
      <c r="AD159"/>
      <c r="AE159"/>
      <c r="AF159"/>
      <c r="AG159"/>
      <c r="AH159"/>
      <c r="AI159"/>
      <c r="AJ159"/>
    </row>
    <row r="160" spans="29:36" x14ac:dyDescent="0.25">
      <c r="AC160"/>
      <c r="AD160"/>
      <c r="AE160"/>
      <c r="AF160"/>
      <c r="AG160"/>
      <c r="AH160"/>
      <c r="AI160"/>
      <c r="AJ160"/>
    </row>
    <row r="161" spans="29:36" x14ac:dyDescent="0.25">
      <c r="AC161"/>
      <c r="AD161"/>
      <c r="AE161"/>
      <c r="AF161"/>
      <c r="AG161"/>
      <c r="AH161"/>
      <c r="AI161"/>
      <c r="AJ161"/>
    </row>
    <row r="162" spans="29:36" x14ac:dyDescent="0.25">
      <c r="AC162"/>
      <c r="AD162"/>
      <c r="AE162"/>
      <c r="AF162"/>
      <c r="AG162"/>
      <c r="AH162"/>
      <c r="AI162"/>
      <c r="AJ162"/>
    </row>
    <row r="163" spans="29:36" x14ac:dyDescent="0.25">
      <c r="AC163"/>
      <c r="AD163"/>
      <c r="AE163"/>
      <c r="AF163"/>
      <c r="AG163"/>
      <c r="AH163"/>
      <c r="AI163"/>
      <c r="AJ163"/>
    </row>
    <row r="164" spans="29:36" x14ac:dyDescent="0.25">
      <c r="AC164"/>
      <c r="AD164"/>
      <c r="AE164"/>
      <c r="AF164"/>
      <c r="AG164"/>
      <c r="AH164"/>
      <c r="AI164"/>
      <c r="AJ164"/>
    </row>
    <row r="165" spans="29:36" x14ac:dyDescent="0.25">
      <c r="AC165"/>
      <c r="AD165"/>
      <c r="AE165"/>
      <c r="AF165"/>
      <c r="AG165"/>
      <c r="AH165"/>
      <c r="AI165"/>
      <c r="AJ165"/>
    </row>
    <row r="166" spans="29:36" x14ac:dyDescent="0.25">
      <c r="AC166"/>
      <c r="AD166"/>
      <c r="AE166"/>
      <c r="AF166"/>
      <c r="AG166"/>
      <c r="AH166"/>
      <c r="AI166"/>
      <c r="AJ166"/>
    </row>
    <row r="167" spans="29:36" x14ac:dyDescent="0.25">
      <c r="AC167"/>
      <c r="AD167"/>
      <c r="AE167"/>
      <c r="AF167"/>
      <c r="AG167"/>
      <c r="AH167"/>
      <c r="AI167"/>
      <c r="AJ167"/>
    </row>
    <row r="168" spans="29:36" x14ac:dyDescent="0.25">
      <c r="AC168"/>
      <c r="AD168"/>
      <c r="AE168"/>
      <c r="AF168"/>
      <c r="AG168"/>
      <c r="AH168"/>
      <c r="AI168"/>
      <c r="AJ168"/>
    </row>
    <row r="169" spans="29:36" x14ac:dyDescent="0.25">
      <c r="AC169"/>
      <c r="AD169"/>
      <c r="AE169"/>
      <c r="AF169"/>
      <c r="AG169"/>
      <c r="AH169"/>
      <c r="AI169"/>
      <c r="AJ169"/>
    </row>
    <row r="170" spans="29:36" x14ac:dyDescent="0.25">
      <c r="AC170"/>
      <c r="AD170"/>
      <c r="AE170"/>
      <c r="AF170"/>
      <c r="AG170"/>
      <c r="AH170"/>
      <c r="AI170"/>
      <c r="AJ170"/>
    </row>
    <row r="171" spans="29:36" x14ac:dyDescent="0.25">
      <c r="AC171"/>
      <c r="AD171"/>
      <c r="AE171"/>
      <c r="AF171"/>
      <c r="AG171"/>
      <c r="AH171"/>
      <c r="AI171"/>
      <c r="AJ171"/>
    </row>
    <row r="172" spans="29:36" x14ac:dyDescent="0.25">
      <c r="AC172"/>
      <c r="AD172"/>
      <c r="AE172"/>
      <c r="AF172"/>
      <c r="AG172"/>
      <c r="AH172"/>
      <c r="AI172"/>
      <c r="AJ172"/>
    </row>
  </sheetData>
  <sortState xmlns:xlrd2="http://schemas.microsoft.com/office/spreadsheetml/2017/richdata2" ref="Q4:Z84">
    <sortCondition ref="T4:T84"/>
  </sortState>
  <mergeCells count="5">
    <mergeCell ref="B1:H1"/>
    <mergeCell ref="R2:S2"/>
    <mergeCell ref="U2:V2"/>
    <mergeCell ref="W2:X2"/>
    <mergeCell ref="Y2:Z2"/>
  </mergeCells>
  <pageMargins left="0.7" right="0.7" top="0.75" bottom="0.75" header="0.3" footer="0.3"/>
  <pageSetup orientation="portrait"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19C0A-F1F8-47D9-A4F3-FE0D11D0CCCD}">
  <dimension ref="A2:X36"/>
  <sheetViews>
    <sheetView topLeftCell="A16" workbookViewId="0">
      <selection activeCell="U27" sqref="U27"/>
    </sheetView>
  </sheetViews>
  <sheetFormatPr defaultRowHeight="12.75" x14ac:dyDescent="0.2"/>
  <cols>
    <col min="1" max="1" width="16.28515625" style="32" bestFit="1" customWidth="1"/>
    <col min="2" max="2" width="17.28515625" style="32" bestFit="1" customWidth="1"/>
    <col min="3" max="3" width="11.42578125" style="32" bestFit="1" customWidth="1"/>
    <col min="4" max="4" width="5.7109375" style="32" bestFit="1" customWidth="1"/>
    <col min="5" max="5" width="9" style="32" bestFit="1" customWidth="1"/>
    <col min="6" max="6" width="11.85546875" style="32" bestFit="1" customWidth="1"/>
    <col min="7" max="7" width="9" style="32" bestFit="1" customWidth="1"/>
    <col min="8" max="8" width="14.85546875" style="32" bestFit="1" customWidth="1"/>
    <col min="9" max="16384" width="9.140625" style="32"/>
  </cols>
  <sheetData>
    <row r="2" spans="1:24" x14ac:dyDescent="0.2">
      <c r="A2" s="33" t="s">
        <v>4</v>
      </c>
      <c r="B2" s="32" t="s">
        <v>126</v>
      </c>
    </row>
    <row r="3" spans="1:24" x14ac:dyDescent="0.2">
      <c r="H3" s="32" t="s">
        <v>137</v>
      </c>
      <c r="I3" s="32" t="s">
        <v>4</v>
      </c>
      <c r="M3" s="32" t="s">
        <v>5</v>
      </c>
      <c r="Q3" s="32" t="s">
        <v>6</v>
      </c>
      <c r="U3" s="32" t="s">
        <v>7</v>
      </c>
    </row>
    <row r="4" spans="1:24" x14ac:dyDescent="0.2">
      <c r="A4" s="33" t="s">
        <v>130</v>
      </c>
      <c r="B4" s="33" t="s">
        <v>135</v>
      </c>
    </row>
    <row r="5" spans="1:24" x14ac:dyDescent="0.2">
      <c r="A5" s="33" t="s">
        <v>128</v>
      </c>
      <c r="B5" s="32" t="s">
        <v>11</v>
      </c>
      <c r="C5" s="32" t="s">
        <v>12</v>
      </c>
      <c r="D5" s="32" t="s">
        <v>13</v>
      </c>
      <c r="E5" s="32" t="s">
        <v>14</v>
      </c>
      <c r="F5" s="32" t="s">
        <v>61</v>
      </c>
      <c r="H5" s="35" t="s">
        <v>3</v>
      </c>
      <c r="I5" s="35" t="s">
        <v>11</v>
      </c>
      <c r="J5" s="35" t="s">
        <v>12</v>
      </c>
      <c r="K5" s="35" t="s">
        <v>13</v>
      </c>
      <c r="L5" s="35" t="s">
        <v>14</v>
      </c>
      <c r="M5" s="35" t="s">
        <v>11</v>
      </c>
      <c r="N5" s="35" t="s">
        <v>12</v>
      </c>
      <c r="O5" s="35" t="s">
        <v>13</v>
      </c>
      <c r="P5" s="35" t="s">
        <v>14</v>
      </c>
      <c r="Q5" s="35" t="s">
        <v>11</v>
      </c>
      <c r="R5" s="35" t="s">
        <v>12</v>
      </c>
      <c r="S5" s="35" t="s">
        <v>13</v>
      </c>
      <c r="T5" s="35" t="s">
        <v>14</v>
      </c>
      <c r="U5" s="35" t="s">
        <v>11</v>
      </c>
      <c r="V5" s="35" t="s">
        <v>12</v>
      </c>
      <c r="W5" s="35" t="s">
        <v>13</v>
      </c>
      <c r="X5" s="35" t="s">
        <v>14</v>
      </c>
    </row>
    <row r="6" spans="1:24" x14ac:dyDescent="0.2">
      <c r="A6" s="34" t="s">
        <v>10</v>
      </c>
      <c r="B6" s="32">
        <v>12</v>
      </c>
      <c r="F6" s="32">
        <v>12</v>
      </c>
      <c r="H6" s="36" t="s">
        <v>10</v>
      </c>
      <c r="I6" s="35">
        <v>12</v>
      </c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</row>
    <row r="7" spans="1:24" x14ac:dyDescent="0.2">
      <c r="A7" s="34" t="s">
        <v>15</v>
      </c>
      <c r="E7" s="32">
        <v>178.25</v>
      </c>
      <c r="F7" s="32">
        <v>178.25</v>
      </c>
      <c r="H7" s="36" t="s">
        <v>15</v>
      </c>
      <c r="I7" s="35"/>
      <c r="J7" s="35"/>
      <c r="K7" s="35"/>
      <c r="L7" s="35">
        <v>178.25</v>
      </c>
      <c r="M7" s="35"/>
      <c r="N7" s="35"/>
      <c r="O7" s="35"/>
      <c r="P7" s="35">
        <v>4</v>
      </c>
      <c r="Q7" s="35"/>
      <c r="R7" s="35"/>
      <c r="S7" s="35"/>
      <c r="T7" s="35">
        <v>5</v>
      </c>
      <c r="U7" s="35"/>
      <c r="V7" s="35"/>
      <c r="W7" s="35"/>
      <c r="X7" s="35">
        <v>7</v>
      </c>
    </row>
    <row r="8" spans="1:24" x14ac:dyDescent="0.2">
      <c r="A8" s="34" t="s">
        <v>16</v>
      </c>
      <c r="D8" s="32">
        <v>29</v>
      </c>
      <c r="F8" s="32">
        <v>29</v>
      </c>
      <c r="H8" s="36" t="s">
        <v>16</v>
      </c>
      <c r="I8" s="35"/>
      <c r="J8" s="35"/>
      <c r="K8" s="35">
        <v>29</v>
      </c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</row>
    <row r="9" spans="1:24" x14ac:dyDescent="0.2">
      <c r="A9" s="34" t="s">
        <v>17</v>
      </c>
      <c r="C9" s="32">
        <v>28</v>
      </c>
      <c r="F9" s="32">
        <v>28</v>
      </c>
      <c r="H9" s="36" t="s">
        <v>17</v>
      </c>
      <c r="I9" s="35"/>
      <c r="J9" s="35">
        <v>28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</row>
    <row r="10" spans="1:24" x14ac:dyDescent="0.2">
      <c r="A10" s="34" t="s">
        <v>61</v>
      </c>
      <c r="B10" s="32">
        <v>12</v>
      </c>
      <c r="C10" s="32">
        <v>28</v>
      </c>
      <c r="D10" s="32">
        <v>29</v>
      </c>
      <c r="E10" s="32">
        <v>178.25</v>
      </c>
      <c r="F10" s="32">
        <v>247.25</v>
      </c>
    </row>
    <row r="11" spans="1:24" ht="15" x14ac:dyDescent="0.25">
      <c r="A11"/>
      <c r="B11"/>
      <c r="C11"/>
      <c r="D11"/>
      <c r="E11"/>
      <c r="F11"/>
    </row>
    <row r="12" spans="1:24" ht="15" x14ac:dyDescent="0.25">
      <c r="A12"/>
      <c r="B12"/>
      <c r="C12"/>
      <c r="D12"/>
      <c r="E12"/>
      <c r="F12"/>
    </row>
    <row r="13" spans="1:24" ht="15" x14ac:dyDescent="0.25">
      <c r="A13"/>
      <c r="B13"/>
      <c r="C13"/>
      <c r="D13"/>
      <c r="E13"/>
      <c r="F13"/>
    </row>
    <row r="14" spans="1:24" ht="15" x14ac:dyDescent="0.25">
      <c r="A14"/>
      <c r="B14"/>
      <c r="C14"/>
      <c r="D14"/>
      <c r="E14"/>
      <c r="F14"/>
    </row>
    <row r="15" spans="1:24" ht="15" x14ac:dyDescent="0.25">
      <c r="A15"/>
      <c r="B15"/>
      <c r="C15"/>
      <c r="D15"/>
      <c r="E15"/>
      <c r="F15"/>
    </row>
    <row r="17" spans="1:24" ht="15" x14ac:dyDescent="0.25">
      <c r="A17" s="30" t="s">
        <v>7</v>
      </c>
      <c r="B17" t="s">
        <v>126</v>
      </c>
    </row>
    <row r="18" spans="1:24" ht="15" x14ac:dyDescent="0.25">
      <c r="A18"/>
      <c r="B18"/>
      <c r="C18"/>
      <c r="D18"/>
      <c r="E18"/>
    </row>
    <row r="19" spans="1:24" ht="15" x14ac:dyDescent="0.25">
      <c r="A19" s="30" t="s">
        <v>129</v>
      </c>
      <c r="B19" s="30" t="s">
        <v>135</v>
      </c>
      <c r="C19"/>
      <c r="D19"/>
      <c r="E19"/>
      <c r="F19"/>
      <c r="H19" s="35" t="s">
        <v>3</v>
      </c>
      <c r="I19" s="35" t="s">
        <v>11</v>
      </c>
      <c r="J19" s="35" t="s">
        <v>12</v>
      </c>
      <c r="K19" s="35" t="s">
        <v>13</v>
      </c>
      <c r="L19" s="35" t="s">
        <v>14</v>
      </c>
      <c r="M19" s="35" t="s">
        <v>11</v>
      </c>
      <c r="N19" s="35" t="s">
        <v>12</v>
      </c>
      <c r="O19" s="35" t="s">
        <v>13</v>
      </c>
      <c r="P19" s="35" t="s">
        <v>14</v>
      </c>
      <c r="Q19" s="35" t="s">
        <v>11</v>
      </c>
      <c r="R19" s="35" t="s">
        <v>12</v>
      </c>
      <c r="S19" s="35" t="s">
        <v>13</v>
      </c>
      <c r="T19" s="35" t="s">
        <v>14</v>
      </c>
      <c r="U19" s="35" t="s">
        <v>11</v>
      </c>
      <c r="V19" s="35" t="s">
        <v>12</v>
      </c>
      <c r="W19" s="35" t="s">
        <v>13</v>
      </c>
      <c r="X19" s="35" t="s">
        <v>14</v>
      </c>
    </row>
    <row r="20" spans="1:24" ht="15" x14ac:dyDescent="0.25">
      <c r="A20" s="30" t="s">
        <v>128</v>
      </c>
      <c r="B20" t="s">
        <v>11</v>
      </c>
      <c r="C20" t="s">
        <v>12</v>
      </c>
      <c r="D20" t="s">
        <v>13</v>
      </c>
      <c r="E20" t="s">
        <v>14</v>
      </c>
      <c r="F20" t="s">
        <v>61</v>
      </c>
      <c r="H20" s="36" t="s">
        <v>10</v>
      </c>
      <c r="I20" s="39">
        <v>5</v>
      </c>
      <c r="J20" s="39"/>
      <c r="K20" s="39"/>
      <c r="L20" s="39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</row>
    <row r="21" spans="1:24" ht="15" x14ac:dyDescent="0.25">
      <c r="A21" s="31" t="s">
        <v>10</v>
      </c>
      <c r="B21">
        <v>0</v>
      </c>
      <c r="C21"/>
      <c r="D21"/>
      <c r="E21"/>
      <c r="F21">
        <v>0</v>
      </c>
      <c r="H21" s="36" t="s">
        <v>15</v>
      </c>
      <c r="I21" s="39"/>
      <c r="J21" s="39"/>
      <c r="K21" s="39"/>
      <c r="L21" s="39">
        <v>148</v>
      </c>
      <c r="M21" s="35"/>
      <c r="N21" s="35"/>
      <c r="O21" s="35"/>
      <c r="P21" s="35">
        <v>1</v>
      </c>
      <c r="Q21" s="35"/>
      <c r="R21" s="35"/>
      <c r="S21" s="35"/>
      <c r="T21" s="35">
        <v>5</v>
      </c>
      <c r="U21" s="35"/>
      <c r="V21" s="35"/>
      <c r="W21" s="35"/>
      <c r="X21" s="35">
        <v>7</v>
      </c>
    </row>
    <row r="22" spans="1:24" ht="15" x14ac:dyDescent="0.25">
      <c r="A22" s="31" t="s">
        <v>15</v>
      </c>
      <c r="B22"/>
      <c r="C22"/>
      <c r="D22"/>
      <c r="E22">
        <v>7</v>
      </c>
      <c r="F22">
        <v>7</v>
      </c>
      <c r="H22" s="36" t="s">
        <v>16</v>
      </c>
      <c r="I22" s="39"/>
      <c r="J22" s="39"/>
      <c r="K22" s="39">
        <v>13</v>
      </c>
      <c r="L22" s="39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</row>
    <row r="23" spans="1:24" ht="15" x14ac:dyDescent="0.25">
      <c r="A23" s="31" t="s">
        <v>16</v>
      </c>
      <c r="B23"/>
      <c r="C23"/>
      <c r="D23">
        <v>0</v>
      </c>
      <c r="E23"/>
      <c r="F23">
        <v>0</v>
      </c>
      <c r="H23" s="36" t="s">
        <v>17</v>
      </c>
      <c r="I23" s="39"/>
      <c r="J23" s="39">
        <v>29</v>
      </c>
      <c r="K23" s="39"/>
      <c r="L23" s="39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</row>
    <row r="24" spans="1:24" ht="15" x14ac:dyDescent="0.25">
      <c r="A24" s="31" t="s">
        <v>17</v>
      </c>
      <c r="B24"/>
      <c r="C24">
        <v>0</v>
      </c>
      <c r="D24"/>
      <c r="E24"/>
      <c r="F24">
        <v>0</v>
      </c>
    </row>
    <row r="25" spans="1:24" ht="15" x14ac:dyDescent="0.25">
      <c r="A25" s="31" t="s">
        <v>61</v>
      </c>
      <c r="B25">
        <v>0</v>
      </c>
      <c r="C25">
        <v>0</v>
      </c>
      <c r="D25">
        <v>0</v>
      </c>
      <c r="E25">
        <v>7</v>
      </c>
      <c r="F25">
        <v>7</v>
      </c>
      <c r="H25" s="32" t="s">
        <v>9</v>
      </c>
      <c r="N25" s="32" t="s">
        <v>19</v>
      </c>
    </row>
    <row r="26" spans="1:24" ht="13.5" thickBot="1" x14ac:dyDescent="0.25">
      <c r="H26" s="35" t="s">
        <v>3</v>
      </c>
      <c r="I26" s="35" t="s">
        <v>11</v>
      </c>
      <c r="J26" s="35" t="s">
        <v>12</v>
      </c>
      <c r="K26" s="35" t="s">
        <v>13</v>
      </c>
      <c r="L26" s="35" t="s">
        <v>14</v>
      </c>
      <c r="M26" s="32" t="s">
        <v>8</v>
      </c>
      <c r="N26" s="35" t="s">
        <v>3</v>
      </c>
      <c r="O26" s="35" t="s">
        <v>11</v>
      </c>
      <c r="P26" s="35" t="s">
        <v>12</v>
      </c>
      <c r="Q26" s="35" t="s">
        <v>13</v>
      </c>
      <c r="R26" s="35" t="s">
        <v>14</v>
      </c>
      <c r="S26" s="32" t="s">
        <v>8</v>
      </c>
    </row>
    <row r="27" spans="1:24" ht="15" x14ac:dyDescent="0.25">
      <c r="H27" s="36" t="s">
        <v>10</v>
      </c>
      <c r="I27" s="36">
        <f t="shared" ref="I27:L30" si="0">SUM(I6,M6,Q6,U6)</f>
        <v>12</v>
      </c>
      <c r="J27" s="36">
        <f t="shared" si="0"/>
        <v>0</v>
      </c>
      <c r="K27" s="36">
        <f t="shared" si="0"/>
        <v>0</v>
      </c>
      <c r="L27" s="36">
        <f t="shared" si="0"/>
        <v>0</v>
      </c>
      <c r="M27" s="32">
        <f>SUM(I27:L27)</f>
        <v>12</v>
      </c>
      <c r="N27" s="36" t="s">
        <v>10</v>
      </c>
      <c r="O27" s="39">
        <f>SUM(I20,M20,Q20,U20)</f>
        <v>5</v>
      </c>
      <c r="P27" s="39">
        <f t="shared" ref="P27:R27" si="1">SUM(J20,N20,R20,V20)</f>
        <v>0</v>
      </c>
      <c r="Q27" s="39">
        <f t="shared" si="1"/>
        <v>0</v>
      </c>
      <c r="R27" s="39">
        <f t="shared" si="1"/>
        <v>0</v>
      </c>
      <c r="S27" s="32">
        <f>SUM(O27:R27)</f>
        <v>5</v>
      </c>
      <c r="U27" s="44">
        <f>(S27-M27)/M27</f>
        <v>-0.58333333333333337</v>
      </c>
    </row>
    <row r="28" spans="1:24" ht="15" x14ac:dyDescent="0.25">
      <c r="H28" s="36" t="s">
        <v>15</v>
      </c>
      <c r="I28" s="36">
        <f t="shared" si="0"/>
        <v>0</v>
      </c>
      <c r="J28" s="36">
        <f t="shared" si="0"/>
        <v>0</v>
      </c>
      <c r="K28" s="36">
        <f t="shared" si="0"/>
        <v>0</v>
      </c>
      <c r="L28" s="36">
        <f t="shared" si="0"/>
        <v>194.25</v>
      </c>
      <c r="M28" s="32">
        <f t="shared" ref="M28:M30" si="2">SUM(I28:L28)</f>
        <v>194.25</v>
      </c>
      <c r="N28" s="36" t="s">
        <v>15</v>
      </c>
      <c r="O28" s="39">
        <f t="shared" ref="O28:O30" si="3">SUM(I21,M21,Q21,U21)</f>
        <v>0</v>
      </c>
      <c r="P28" s="39">
        <f t="shared" ref="P28:R28" si="4">SUM(J21,N21,R21,V21)</f>
        <v>0</v>
      </c>
      <c r="Q28" s="39">
        <f t="shared" si="4"/>
        <v>0</v>
      </c>
      <c r="R28" s="39">
        <f t="shared" si="4"/>
        <v>161</v>
      </c>
      <c r="S28" s="32">
        <f t="shared" ref="S28:S30" si="5">SUM(O28:R28)</f>
        <v>161</v>
      </c>
      <c r="U28" s="45">
        <f t="shared" ref="U28:U30" si="6">(S28-M28)/M28</f>
        <v>-0.17117117117117117</v>
      </c>
    </row>
    <row r="29" spans="1:24" ht="15" x14ac:dyDescent="0.25">
      <c r="H29" s="36" t="s">
        <v>16</v>
      </c>
      <c r="I29" s="36">
        <f t="shared" si="0"/>
        <v>0</v>
      </c>
      <c r="J29" s="36">
        <f t="shared" si="0"/>
        <v>0</v>
      </c>
      <c r="K29" s="36">
        <f t="shared" si="0"/>
        <v>29</v>
      </c>
      <c r="L29" s="36">
        <f t="shared" si="0"/>
        <v>0</v>
      </c>
      <c r="M29" s="32">
        <f t="shared" si="2"/>
        <v>29</v>
      </c>
      <c r="N29" s="36" t="s">
        <v>16</v>
      </c>
      <c r="O29" s="39">
        <f t="shared" si="3"/>
        <v>0</v>
      </c>
      <c r="P29" s="39">
        <f t="shared" ref="P29:R29" si="7">SUM(J22,N22,R22,V22)</f>
        <v>0</v>
      </c>
      <c r="Q29" s="39">
        <f t="shared" si="7"/>
        <v>13</v>
      </c>
      <c r="R29" s="39">
        <f t="shared" si="7"/>
        <v>0</v>
      </c>
      <c r="S29" s="32">
        <f t="shared" si="5"/>
        <v>13</v>
      </c>
      <c r="U29" s="45">
        <f t="shared" si="6"/>
        <v>-0.55172413793103448</v>
      </c>
    </row>
    <row r="30" spans="1:24" ht="15.75" thickBot="1" x14ac:dyDescent="0.3">
      <c r="H30" s="36" t="s">
        <v>17</v>
      </c>
      <c r="I30" s="36">
        <f t="shared" si="0"/>
        <v>0</v>
      </c>
      <c r="J30" s="36">
        <f t="shared" si="0"/>
        <v>28</v>
      </c>
      <c r="K30" s="36">
        <f t="shared" si="0"/>
        <v>0</v>
      </c>
      <c r="L30" s="36">
        <f t="shared" si="0"/>
        <v>0</v>
      </c>
      <c r="M30" s="32">
        <f t="shared" si="2"/>
        <v>28</v>
      </c>
      <c r="N30" s="36" t="s">
        <v>17</v>
      </c>
      <c r="O30" s="39">
        <f t="shared" si="3"/>
        <v>0</v>
      </c>
      <c r="P30" s="39">
        <f t="shared" ref="P30:R30" si="8">SUM(J23,N23,R23,V23)</f>
        <v>29</v>
      </c>
      <c r="Q30" s="39">
        <f t="shared" si="8"/>
        <v>0</v>
      </c>
      <c r="R30" s="39">
        <f t="shared" si="8"/>
        <v>0</v>
      </c>
      <c r="S30" s="32">
        <f t="shared" si="5"/>
        <v>29</v>
      </c>
      <c r="U30" s="46">
        <f t="shared" si="6"/>
        <v>3.5714285714285712E-2</v>
      </c>
    </row>
    <row r="31" spans="1:24" x14ac:dyDescent="0.2">
      <c r="L31" s="32">
        <f>SUM(I27:L30)</f>
        <v>263.25</v>
      </c>
      <c r="R31" s="32">
        <f>SUM(O27:R30)</f>
        <v>208</v>
      </c>
      <c r="U31" s="43">
        <f>(R31-L31)/L31</f>
        <v>-0.20987654320987653</v>
      </c>
    </row>
    <row r="32" spans="1:24" ht="13.5" thickBot="1" x14ac:dyDescent="0.25"/>
    <row r="33" spans="8:18" ht="13.5" thickBot="1" x14ac:dyDescent="0.25">
      <c r="H33" s="32" t="s">
        <v>8</v>
      </c>
      <c r="I33" s="47">
        <f>SUM(I27:I30)</f>
        <v>12</v>
      </c>
      <c r="J33" s="48">
        <f t="shared" ref="J33:L33" si="9">SUM(J27:J30)</f>
        <v>28</v>
      </c>
      <c r="K33" s="48">
        <f t="shared" si="9"/>
        <v>29</v>
      </c>
      <c r="L33" s="49">
        <f t="shared" si="9"/>
        <v>194.25</v>
      </c>
      <c r="O33" s="32">
        <f>SUM(O27:O30)</f>
        <v>5</v>
      </c>
      <c r="P33" s="32">
        <f t="shared" ref="P33:R33" si="10">SUM(P27:P30)</f>
        <v>29</v>
      </c>
      <c r="Q33" s="32">
        <f t="shared" si="10"/>
        <v>13</v>
      </c>
      <c r="R33" s="32">
        <f t="shared" si="10"/>
        <v>161</v>
      </c>
    </row>
    <row r="35" spans="8:18" ht="13.5" thickBot="1" x14ac:dyDescent="0.25"/>
    <row r="36" spans="8:18" ht="13.5" thickBot="1" x14ac:dyDescent="0.25">
      <c r="O36" s="40">
        <f>(O33-I33)/I33</f>
        <v>-0.58333333333333337</v>
      </c>
      <c r="P36" s="41">
        <f t="shared" ref="P36:R36" si="11">(P33-J33)/J33</f>
        <v>3.5714285714285712E-2</v>
      </c>
      <c r="Q36" s="41">
        <f t="shared" si="11"/>
        <v>-0.55172413793103448</v>
      </c>
      <c r="R36" s="42">
        <f t="shared" si="11"/>
        <v>-0.17117117117117117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3E195-C312-439C-9FF7-BB0774944DB3}">
  <dimension ref="A2:M39"/>
  <sheetViews>
    <sheetView workbookViewId="0">
      <selection activeCell="Q10" sqref="Q10"/>
    </sheetView>
  </sheetViews>
  <sheetFormatPr defaultRowHeight="12.75" x14ac:dyDescent="0.2"/>
  <cols>
    <col min="1" max="1" width="16.28515625" style="32" bestFit="1" customWidth="1"/>
    <col min="2" max="2" width="17.28515625" style="32" bestFit="1" customWidth="1"/>
    <col min="3" max="3" width="5.140625" style="32" bestFit="1" customWidth="1"/>
    <col min="4" max="4" width="11.85546875" style="32" bestFit="1" customWidth="1"/>
    <col min="5" max="5" width="6" style="32" bestFit="1" customWidth="1"/>
    <col min="6" max="6" width="4.140625" style="32" bestFit="1" customWidth="1"/>
    <col min="7" max="7" width="9" style="32" bestFit="1" customWidth="1"/>
    <col min="8" max="8" width="14.85546875" style="32" bestFit="1" customWidth="1"/>
    <col min="9" max="16384" width="9.140625" style="32"/>
  </cols>
  <sheetData>
    <row r="2" spans="1:13" x14ac:dyDescent="0.2">
      <c r="A2" s="33" t="s">
        <v>138</v>
      </c>
      <c r="B2" s="32" t="s">
        <v>126</v>
      </c>
    </row>
    <row r="3" spans="1:13" x14ac:dyDescent="0.2">
      <c r="H3" s="32" t="s">
        <v>137</v>
      </c>
    </row>
    <row r="4" spans="1:13" ht="15" x14ac:dyDescent="0.25">
      <c r="A4" s="33" t="s">
        <v>128</v>
      </c>
      <c r="B4" s="32" t="s">
        <v>139</v>
      </c>
      <c r="C4"/>
    </row>
    <row r="5" spans="1:13" ht="15" x14ac:dyDescent="0.25">
      <c r="A5" s="34" t="s">
        <v>10</v>
      </c>
      <c r="C5"/>
      <c r="H5" s="35" t="s">
        <v>3</v>
      </c>
      <c r="I5" s="35" t="s">
        <v>4</v>
      </c>
      <c r="J5" s="35" t="s">
        <v>5</v>
      </c>
      <c r="K5" s="35" t="s">
        <v>6</v>
      </c>
      <c r="L5" s="35" t="s">
        <v>7</v>
      </c>
      <c r="M5" s="32" t="s">
        <v>8</v>
      </c>
    </row>
    <row r="6" spans="1:13" ht="15" x14ac:dyDescent="0.25">
      <c r="A6" s="34" t="s">
        <v>15</v>
      </c>
      <c r="B6" s="32">
        <v>0</v>
      </c>
      <c r="C6"/>
      <c r="H6" s="36" t="s">
        <v>10</v>
      </c>
      <c r="I6" s="35">
        <v>12</v>
      </c>
      <c r="J6" s="35"/>
      <c r="K6" s="35"/>
      <c r="L6" s="35"/>
      <c r="M6" s="32">
        <f>SUM(I6:L6)</f>
        <v>12</v>
      </c>
    </row>
    <row r="7" spans="1:13" ht="15" x14ac:dyDescent="0.25">
      <c r="A7" s="34" t="s">
        <v>16</v>
      </c>
      <c r="C7"/>
      <c r="H7" s="36" t="s">
        <v>15</v>
      </c>
      <c r="I7" s="35">
        <v>178.25</v>
      </c>
      <c r="J7" s="35">
        <v>4</v>
      </c>
      <c r="K7" s="35">
        <v>5</v>
      </c>
      <c r="L7" s="35">
        <v>7</v>
      </c>
      <c r="M7" s="32">
        <f>SUM(I7:L7)</f>
        <v>194.25</v>
      </c>
    </row>
    <row r="8" spans="1:13" ht="15" x14ac:dyDescent="0.25">
      <c r="A8" s="34" t="s">
        <v>17</v>
      </c>
      <c r="C8"/>
      <c r="H8" s="36" t="s">
        <v>16</v>
      </c>
      <c r="I8" s="35">
        <v>29</v>
      </c>
      <c r="J8" s="35"/>
      <c r="K8" s="35"/>
      <c r="L8" s="35"/>
      <c r="M8" s="32">
        <f t="shared" ref="M8:M9" si="0">SUM(I8:L8)</f>
        <v>29</v>
      </c>
    </row>
    <row r="9" spans="1:13" ht="15" x14ac:dyDescent="0.25">
      <c r="A9" s="34" t="s">
        <v>61</v>
      </c>
      <c r="B9" s="32">
        <v>0</v>
      </c>
      <c r="C9"/>
      <c r="H9" s="36" t="s">
        <v>17</v>
      </c>
      <c r="I9" s="35">
        <v>28</v>
      </c>
      <c r="J9" s="35"/>
      <c r="K9" s="35"/>
      <c r="L9" s="35"/>
      <c r="M9" s="32">
        <f t="shared" si="0"/>
        <v>28</v>
      </c>
    </row>
    <row r="10" spans="1:13" ht="15" x14ac:dyDescent="0.25">
      <c r="A10"/>
      <c r="B10"/>
      <c r="C10"/>
      <c r="M10" s="32">
        <f>SUM(M6:M9)</f>
        <v>263.25</v>
      </c>
    </row>
    <row r="11" spans="1:13" x14ac:dyDescent="0.2">
      <c r="H11" s="32" t="s">
        <v>18</v>
      </c>
    </row>
    <row r="13" spans="1:13" x14ac:dyDescent="0.2">
      <c r="A13" s="33" t="s">
        <v>130</v>
      </c>
      <c r="B13" s="33" t="s">
        <v>135</v>
      </c>
      <c r="H13" s="35" t="s">
        <v>3</v>
      </c>
      <c r="I13" s="35" t="s">
        <v>4</v>
      </c>
      <c r="J13" s="35" t="s">
        <v>5</v>
      </c>
      <c r="K13" s="35" t="s">
        <v>6</v>
      </c>
      <c r="L13" s="35" t="s">
        <v>7</v>
      </c>
    </row>
    <row r="14" spans="1:13" x14ac:dyDescent="0.2">
      <c r="A14" s="33" t="s">
        <v>128</v>
      </c>
      <c r="B14" s="32" t="s">
        <v>31</v>
      </c>
      <c r="C14" s="32" t="s">
        <v>29</v>
      </c>
      <c r="D14" s="32" t="s">
        <v>61</v>
      </c>
      <c r="H14" s="36" t="s">
        <v>10</v>
      </c>
      <c r="I14" s="35">
        <v>5</v>
      </c>
      <c r="J14" s="35"/>
      <c r="K14" s="35"/>
      <c r="L14" s="35"/>
      <c r="M14" s="32">
        <f>SUM(I14:L14)</f>
        <v>5</v>
      </c>
    </row>
    <row r="15" spans="1:13" x14ac:dyDescent="0.2">
      <c r="A15" s="34" t="s">
        <v>10</v>
      </c>
      <c r="B15" s="32">
        <v>12</v>
      </c>
      <c r="D15" s="32">
        <v>12</v>
      </c>
      <c r="H15" s="36" t="s">
        <v>15</v>
      </c>
      <c r="I15" s="35">
        <v>148</v>
      </c>
      <c r="J15" s="35">
        <v>1</v>
      </c>
      <c r="K15" s="35">
        <v>5</v>
      </c>
      <c r="L15" s="35">
        <v>7</v>
      </c>
      <c r="M15" s="32">
        <f t="shared" ref="M15:M17" si="1">SUM(I15:L15)</f>
        <v>161</v>
      </c>
    </row>
    <row r="16" spans="1:13" x14ac:dyDescent="0.2">
      <c r="A16" s="34" t="s">
        <v>15</v>
      </c>
      <c r="B16" s="32">
        <v>143.25</v>
      </c>
      <c r="C16" s="32">
        <v>35</v>
      </c>
      <c r="D16" s="32">
        <v>178.25</v>
      </c>
      <c r="H16" s="36" t="s">
        <v>16</v>
      </c>
      <c r="I16" s="35">
        <v>13</v>
      </c>
      <c r="J16" s="35"/>
      <c r="K16" s="35"/>
      <c r="L16" s="35"/>
      <c r="M16" s="32">
        <f t="shared" si="1"/>
        <v>13</v>
      </c>
    </row>
    <row r="17" spans="1:13" x14ac:dyDescent="0.2">
      <c r="A17" s="34" t="s">
        <v>16</v>
      </c>
      <c r="B17" s="32">
        <v>29</v>
      </c>
      <c r="D17" s="32">
        <v>29</v>
      </c>
      <c r="H17" s="36" t="s">
        <v>17</v>
      </c>
      <c r="I17" s="35">
        <v>29</v>
      </c>
      <c r="J17" s="35"/>
      <c r="K17" s="35"/>
      <c r="L17" s="35"/>
      <c r="M17" s="32">
        <f t="shared" si="1"/>
        <v>29</v>
      </c>
    </row>
    <row r="18" spans="1:13" x14ac:dyDescent="0.2">
      <c r="A18" s="34" t="s">
        <v>17</v>
      </c>
      <c r="B18" s="32">
        <v>28</v>
      </c>
      <c r="D18" s="32">
        <v>28</v>
      </c>
      <c r="M18" s="32">
        <f>SUM(M14:M17)</f>
        <v>208</v>
      </c>
    </row>
    <row r="19" spans="1:13" x14ac:dyDescent="0.2">
      <c r="A19" s="34" t="s">
        <v>61</v>
      </c>
      <c r="B19" s="32">
        <v>212.25</v>
      </c>
      <c r="C19" s="32">
        <v>35</v>
      </c>
      <c r="D19" s="32">
        <v>247.25</v>
      </c>
    </row>
    <row r="21" spans="1:13" x14ac:dyDescent="0.2">
      <c r="H21" s="35" t="s">
        <v>3</v>
      </c>
      <c r="I21" s="35" t="s">
        <v>4</v>
      </c>
      <c r="J21" s="35" t="s">
        <v>5</v>
      </c>
      <c r="K21" s="35" t="s">
        <v>6</v>
      </c>
      <c r="L21" s="35" t="s">
        <v>7</v>
      </c>
    </row>
    <row r="22" spans="1:13" x14ac:dyDescent="0.2">
      <c r="H22" s="36" t="s">
        <v>10</v>
      </c>
      <c r="I22" s="37">
        <f>(I14-I6)/I6</f>
        <v>-0.58333333333333337</v>
      </c>
      <c r="J22" s="37"/>
      <c r="K22" s="37"/>
      <c r="L22" s="37"/>
    </row>
    <row r="23" spans="1:13" x14ac:dyDescent="0.2">
      <c r="A23" s="33" t="s">
        <v>130</v>
      </c>
      <c r="B23" s="33" t="s">
        <v>135</v>
      </c>
      <c r="H23" s="36" t="s">
        <v>15</v>
      </c>
      <c r="I23" s="37">
        <f t="shared" ref="I23:I25" si="2">(I15-I7)/I7</f>
        <v>-0.1697054698457223</v>
      </c>
      <c r="J23" s="37">
        <f>(J15-J7)/J7</f>
        <v>-0.75</v>
      </c>
      <c r="K23" s="37">
        <f>(K15-K7)/K7</f>
        <v>0</v>
      </c>
      <c r="L23" s="37">
        <f>(L15-L7)/L7</f>
        <v>0</v>
      </c>
    </row>
    <row r="24" spans="1:13" x14ac:dyDescent="0.2">
      <c r="A24" s="33" t="s">
        <v>128</v>
      </c>
      <c r="B24" s="32" t="s">
        <v>31</v>
      </c>
      <c r="C24" s="32" t="s">
        <v>29</v>
      </c>
      <c r="D24" s="32" t="s">
        <v>61</v>
      </c>
      <c r="H24" s="36" t="s">
        <v>16</v>
      </c>
      <c r="I24" s="37">
        <f t="shared" si="2"/>
        <v>-0.55172413793103448</v>
      </c>
      <c r="J24" s="37"/>
      <c r="K24" s="37"/>
      <c r="L24" s="37"/>
    </row>
    <row r="25" spans="1:13" x14ac:dyDescent="0.2">
      <c r="A25" s="34" t="s">
        <v>10</v>
      </c>
      <c r="B25" s="32">
        <v>12</v>
      </c>
      <c r="D25" s="32">
        <v>12</v>
      </c>
      <c r="H25" s="36" t="s">
        <v>17</v>
      </c>
      <c r="I25" s="37">
        <f t="shared" si="2"/>
        <v>3.5714285714285712E-2</v>
      </c>
      <c r="J25" s="37"/>
      <c r="K25" s="37"/>
      <c r="L25" s="37"/>
    </row>
    <row r="26" spans="1:13" x14ac:dyDescent="0.2">
      <c r="A26" s="34" t="s">
        <v>15</v>
      </c>
      <c r="B26" s="32">
        <v>163.25</v>
      </c>
      <c r="C26" s="32">
        <v>15</v>
      </c>
      <c r="D26" s="32">
        <v>178.25</v>
      </c>
      <c r="M26" s="38">
        <f>(M18-M10)/M10</f>
        <v>-0.20987654320987653</v>
      </c>
    </row>
    <row r="27" spans="1:13" x14ac:dyDescent="0.2">
      <c r="A27" s="34" t="s">
        <v>16</v>
      </c>
      <c r="B27" s="32">
        <v>29</v>
      </c>
      <c r="D27" s="32">
        <v>29</v>
      </c>
    </row>
    <row r="28" spans="1:13" x14ac:dyDescent="0.2">
      <c r="A28" s="34" t="s">
        <v>17</v>
      </c>
      <c r="B28" s="32">
        <v>28</v>
      </c>
      <c r="D28" s="32">
        <v>28</v>
      </c>
    </row>
    <row r="29" spans="1:13" x14ac:dyDescent="0.2">
      <c r="A29" s="34" t="s">
        <v>61</v>
      </c>
      <c r="B29" s="32">
        <v>232.25</v>
      </c>
      <c r="C29" s="32">
        <v>15</v>
      </c>
      <c r="D29" s="32">
        <v>247.25</v>
      </c>
    </row>
    <row r="33" spans="1:4" x14ac:dyDescent="0.2">
      <c r="A33" s="33" t="s">
        <v>130</v>
      </c>
      <c r="B33" s="33" t="s">
        <v>135</v>
      </c>
    </row>
    <row r="34" spans="1:4" x14ac:dyDescent="0.2">
      <c r="A34" s="33" t="s">
        <v>128</v>
      </c>
      <c r="B34" s="32" t="s">
        <v>31</v>
      </c>
      <c r="C34" s="32" t="s">
        <v>29</v>
      </c>
      <c r="D34" s="32" t="s">
        <v>61</v>
      </c>
    </row>
    <row r="35" spans="1:4" x14ac:dyDescent="0.2">
      <c r="A35" s="34" t="s">
        <v>10</v>
      </c>
      <c r="B35" s="32">
        <v>12</v>
      </c>
      <c r="D35" s="32">
        <v>12</v>
      </c>
    </row>
    <row r="36" spans="1:4" x14ac:dyDescent="0.2">
      <c r="A36" s="34" t="s">
        <v>15</v>
      </c>
      <c r="B36" s="32">
        <v>38.25</v>
      </c>
      <c r="C36" s="32">
        <v>140</v>
      </c>
      <c r="D36" s="32">
        <v>178.25</v>
      </c>
    </row>
    <row r="37" spans="1:4" x14ac:dyDescent="0.2">
      <c r="A37" s="34" t="s">
        <v>16</v>
      </c>
      <c r="B37" s="32">
        <v>29</v>
      </c>
      <c r="D37" s="32">
        <v>29</v>
      </c>
    </row>
    <row r="38" spans="1:4" x14ac:dyDescent="0.2">
      <c r="A38" s="34" t="s">
        <v>17</v>
      </c>
      <c r="B38" s="32">
        <v>28</v>
      </c>
      <c r="D38" s="32">
        <v>28</v>
      </c>
    </row>
    <row r="39" spans="1:4" x14ac:dyDescent="0.2">
      <c r="A39" s="34" t="s">
        <v>61</v>
      </c>
      <c r="B39" s="32">
        <v>107.25</v>
      </c>
      <c r="C39" s="32">
        <v>140</v>
      </c>
      <c r="D39" s="32">
        <v>247.25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D82D8-E0FC-4C71-B1E3-7F63F13AC08B}">
  <dimension ref="A4:P29"/>
  <sheetViews>
    <sheetView topLeftCell="A7" workbookViewId="0">
      <selection activeCell="R11" sqref="R11"/>
    </sheetView>
  </sheetViews>
  <sheetFormatPr defaultRowHeight="15" x14ac:dyDescent="0.25"/>
  <cols>
    <col min="1" max="1" width="17.28515625" bestFit="1" customWidth="1"/>
    <col min="2" max="2" width="9.7109375" bestFit="1" customWidth="1"/>
    <col min="3" max="3" width="3.7109375" bestFit="1" customWidth="1"/>
    <col min="4" max="4" width="6.28515625" bestFit="1" customWidth="1"/>
    <col min="5" max="5" width="6.140625" bestFit="1" customWidth="1"/>
    <col min="6" max="6" width="3.7109375" bestFit="1" customWidth="1"/>
    <col min="7" max="7" width="17.42578125" bestFit="1" customWidth="1"/>
    <col min="8" max="8" width="9.7109375" bestFit="1" customWidth="1"/>
    <col min="9" max="9" width="6.28515625" customWidth="1"/>
    <col min="10" max="10" width="6.28515625" bestFit="1" customWidth="1"/>
    <col min="11" max="11" width="7" customWidth="1"/>
    <col min="12" max="12" width="4.85546875" bestFit="1" customWidth="1"/>
    <col min="13" max="13" width="15.42578125" bestFit="1" customWidth="1"/>
    <col min="14" max="14" width="14.5703125" bestFit="1" customWidth="1"/>
    <col min="15" max="15" width="6.28515625" bestFit="1" customWidth="1"/>
    <col min="16" max="16" width="10" bestFit="1" customWidth="1"/>
    <col min="17" max="17" width="16.140625" bestFit="1" customWidth="1"/>
    <col min="18" max="18" width="10.42578125" bestFit="1" customWidth="1"/>
    <col min="19" max="19" width="10.85546875" bestFit="1" customWidth="1"/>
  </cols>
  <sheetData>
    <row r="4" spans="1:16" x14ac:dyDescent="0.25">
      <c r="M4" s="78" t="s">
        <v>23</v>
      </c>
      <c r="N4" s="79" t="s">
        <v>31</v>
      </c>
    </row>
    <row r="6" spans="1:16" ht="114.75" x14ac:dyDescent="0.25">
      <c r="A6" s="78" t="s">
        <v>140</v>
      </c>
      <c r="B6" s="78" t="s">
        <v>135</v>
      </c>
      <c r="C6" s="79"/>
      <c r="D6" s="79"/>
      <c r="F6" s="78" t="s">
        <v>140</v>
      </c>
      <c r="G6" s="78" t="s">
        <v>135</v>
      </c>
      <c r="H6" s="79"/>
      <c r="I6" s="79"/>
      <c r="J6" s="79"/>
      <c r="K6" s="79"/>
      <c r="M6" s="78" t="s">
        <v>141</v>
      </c>
      <c r="N6" s="78" t="s">
        <v>135</v>
      </c>
      <c r="O6" s="79"/>
      <c r="P6" s="79"/>
    </row>
    <row r="7" spans="1:16" ht="127.5" x14ac:dyDescent="0.25">
      <c r="A7" s="78" t="s">
        <v>142</v>
      </c>
      <c r="B7" s="79" t="s">
        <v>31</v>
      </c>
      <c r="C7" s="79" t="s">
        <v>29</v>
      </c>
      <c r="D7" s="79" t="s">
        <v>61</v>
      </c>
      <c r="F7" s="78" t="s">
        <v>143</v>
      </c>
      <c r="G7" s="79" t="s">
        <v>11</v>
      </c>
      <c r="H7" s="79" t="s">
        <v>12</v>
      </c>
      <c r="I7" s="79" t="s">
        <v>13</v>
      </c>
      <c r="J7" s="79" t="s">
        <v>14</v>
      </c>
      <c r="K7" s="79" t="s">
        <v>61</v>
      </c>
      <c r="M7" s="78" t="s">
        <v>144</v>
      </c>
      <c r="N7" s="79" t="s">
        <v>11</v>
      </c>
      <c r="O7" s="79" t="s">
        <v>13</v>
      </c>
      <c r="P7" s="79" t="s">
        <v>61</v>
      </c>
    </row>
    <row r="8" spans="1:16" ht="25.5" x14ac:dyDescent="0.25">
      <c r="A8" s="80" t="s">
        <v>10</v>
      </c>
      <c r="B8" s="79">
        <v>8</v>
      </c>
      <c r="C8" s="79">
        <v>4</v>
      </c>
      <c r="D8" s="79">
        <v>12</v>
      </c>
      <c r="F8" s="80" t="s">
        <v>31</v>
      </c>
      <c r="G8" s="79">
        <v>8</v>
      </c>
      <c r="H8" s="79"/>
      <c r="I8" s="79">
        <v>16</v>
      </c>
      <c r="J8" s="79"/>
      <c r="K8" s="79">
        <v>24</v>
      </c>
      <c r="M8" s="80" t="s">
        <v>49</v>
      </c>
      <c r="N8" s="79">
        <v>6</v>
      </c>
      <c r="O8" s="79">
        <v>3</v>
      </c>
      <c r="P8" s="79">
        <v>9</v>
      </c>
    </row>
    <row r="9" spans="1:16" ht="25.5" x14ac:dyDescent="0.25">
      <c r="A9" s="80" t="s">
        <v>15</v>
      </c>
      <c r="B9" s="79"/>
      <c r="C9" s="79">
        <v>16</v>
      </c>
      <c r="D9" s="79">
        <v>16</v>
      </c>
      <c r="F9" s="80" t="s">
        <v>29</v>
      </c>
      <c r="G9" s="79">
        <v>4</v>
      </c>
      <c r="H9" s="79">
        <v>28</v>
      </c>
      <c r="I9" s="79">
        <v>13</v>
      </c>
      <c r="J9" s="79">
        <v>16</v>
      </c>
      <c r="K9" s="79">
        <v>61</v>
      </c>
      <c r="M9" s="80" t="s">
        <v>39</v>
      </c>
      <c r="N9" s="79">
        <v>1</v>
      </c>
      <c r="O9" s="79">
        <v>3</v>
      </c>
      <c r="P9" s="79">
        <v>4</v>
      </c>
    </row>
    <row r="10" spans="1:16" ht="63.75" x14ac:dyDescent="0.25">
      <c r="A10" s="80" t="s">
        <v>16</v>
      </c>
      <c r="B10" s="79">
        <v>16</v>
      </c>
      <c r="C10" s="79">
        <v>13</v>
      </c>
      <c r="D10" s="79">
        <v>29</v>
      </c>
      <c r="F10" s="80" t="s">
        <v>61</v>
      </c>
      <c r="G10" s="79">
        <v>12</v>
      </c>
      <c r="H10" s="79">
        <v>28</v>
      </c>
      <c r="I10" s="79">
        <v>29</v>
      </c>
      <c r="J10" s="79">
        <v>16</v>
      </c>
      <c r="K10" s="79">
        <v>85</v>
      </c>
      <c r="M10" s="80" t="s">
        <v>42</v>
      </c>
      <c r="N10" s="79">
        <v>1</v>
      </c>
      <c r="O10" s="79">
        <v>5</v>
      </c>
      <c r="P10" s="79">
        <v>6</v>
      </c>
    </row>
    <row r="11" spans="1:16" ht="38.25" x14ac:dyDescent="0.25">
      <c r="A11" s="80" t="s">
        <v>17</v>
      </c>
      <c r="B11" s="79"/>
      <c r="C11" s="79">
        <v>28</v>
      </c>
      <c r="D11" s="79">
        <v>28</v>
      </c>
      <c r="M11" s="80" t="s">
        <v>45</v>
      </c>
      <c r="N11" s="79"/>
      <c r="O11" s="79">
        <v>5</v>
      </c>
      <c r="P11" s="79">
        <v>5</v>
      </c>
    </row>
    <row r="12" spans="1:16" x14ac:dyDescent="0.25">
      <c r="A12" s="80" t="s">
        <v>61</v>
      </c>
      <c r="B12" s="79">
        <v>24</v>
      </c>
      <c r="C12" s="79">
        <v>61</v>
      </c>
      <c r="D12" s="79">
        <v>85</v>
      </c>
      <c r="M12" s="80" t="s">
        <v>61</v>
      </c>
      <c r="N12" s="79">
        <v>8</v>
      </c>
      <c r="O12" s="79">
        <v>16</v>
      </c>
      <c r="P12" s="79">
        <v>24</v>
      </c>
    </row>
    <row r="15" spans="1:16" ht="25.5" customHeight="1" x14ac:dyDescent="0.25">
      <c r="A15" s="78" t="s">
        <v>145</v>
      </c>
      <c r="B15" s="78" t="s">
        <v>135</v>
      </c>
      <c r="C15" s="79"/>
      <c r="D15" s="79"/>
      <c r="E15" s="79"/>
      <c r="G15" s="78" t="s">
        <v>146</v>
      </c>
      <c r="H15" s="78" t="s">
        <v>135</v>
      </c>
      <c r="I15" s="79"/>
      <c r="J15" s="79"/>
      <c r="M15" s="78" t="s">
        <v>147</v>
      </c>
      <c r="N15" s="78" t="s">
        <v>135</v>
      </c>
      <c r="O15" s="79"/>
      <c r="P15" s="79"/>
    </row>
    <row r="16" spans="1:16" ht="33.75" customHeight="1" x14ac:dyDescent="0.25">
      <c r="A16" s="78" t="s">
        <v>148</v>
      </c>
      <c r="B16" s="79" t="s">
        <v>31</v>
      </c>
      <c r="C16" s="79" t="s">
        <v>29</v>
      </c>
      <c r="D16" s="79" t="s">
        <v>136</v>
      </c>
      <c r="E16" s="79" t="s">
        <v>61</v>
      </c>
      <c r="G16" s="78" t="s">
        <v>148</v>
      </c>
      <c r="H16" s="79" t="s">
        <v>31</v>
      </c>
      <c r="I16" s="79" t="s">
        <v>29</v>
      </c>
      <c r="J16" s="79" t="s">
        <v>61</v>
      </c>
      <c r="M16" s="78" t="s">
        <v>148</v>
      </c>
      <c r="N16" s="79" t="s">
        <v>31</v>
      </c>
      <c r="O16" s="79" t="s">
        <v>136</v>
      </c>
      <c r="P16" s="79" t="s">
        <v>61</v>
      </c>
    </row>
    <row r="17" spans="1:16" ht="18" customHeight="1" x14ac:dyDescent="0.25">
      <c r="A17" s="80" t="s">
        <v>10</v>
      </c>
      <c r="B17" s="79">
        <v>0</v>
      </c>
      <c r="C17" s="79"/>
      <c r="D17" s="79"/>
      <c r="E17" s="79">
        <v>0</v>
      </c>
      <c r="G17" s="80" t="s">
        <v>10</v>
      </c>
      <c r="H17" s="79"/>
      <c r="I17" s="79">
        <v>5</v>
      </c>
      <c r="J17" s="79">
        <v>5</v>
      </c>
      <c r="M17" s="80" t="s">
        <v>10</v>
      </c>
      <c r="N17" s="79">
        <v>4</v>
      </c>
      <c r="O17" s="79"/>
      <c r="P17" s="79">
        <v>4</v>
      </c>
    </row>
    <row r="18" spans="1:16" ht="21.75" customHeight="1" x14ac:dyDescent="0.25">
      <c r="A18" s="80" t="s">
        <v>15</v>
      </c>
      <c r="B18" s="79">
        <v>0</v>
      </c>
      <c r="C18" s="79">
        <v>7</v>
      </c>
      <c r="D18" s="79"/>
      <c r="E18" s="79">
        <v>7</v>
      </c>
      <c r="G18" s="80" t="s">
        <v>15</v>
      </c>
      <c r="H18" s="79"/>
      <c r="I18" s="79">
        <v>148</v>
      </c>
      <c r="J18" s="79">
        <v>148</v>
      </c>
      <c r="M18" s="80" t="s">
        <v>15</v>
      </c>
      <c r="N18" s="79">
        <v>16</v>
      </c>
      <c r="O18" s="79"/>
      <c r="P18" s="79">
        <v>16</v>
      </c>
    </row>
    <row r="19" spans="1:16" ht="21" customHeight="1" x14ac:dyDescent="0.25">
      <c r="A19" s="80" t="s">
        <v>16</v>
      </c>
      <c r="B19" s="79">
        <v>0</v>
      </c>
      <c r="C19" s="79"/>
      <c r="D19" s="79"/>
      <c r="E19" s="79">
        <v>0</v>
      </c>
      <c r="G19" s="80" t="s">
        <v>16</v>
      </c>
      <c r="H19" s="79">
        <v>3</v>
      </c>
      <c r="I19" s="79">
        <v>13</v>
      </c>
      <c r="J19" s="79">
        <v>16</v>
      </c>
      <c r="M19" s="80" t="s">
        <v>16</v>
      </c>
      <c r="N19" s="79">
        <v>24</v>
      </c>
      <c r="O19" s="79"/>
      <c r="P19" s="79">
        <v>24</v>
      </c>
    </row>
    <row r="20" spans="1:16" ht="24" customHeight="1" x14ac:dyDescent="0.25">
      <c r="A20" s="80" t="s">
        <v>17</v>
      </c>
      <c r="B20" s="79">
        <v>0</v>
      </c>
      <c r="C20" s="79"/>
      <c r="D20" s="79"/>
      <c r="E20" s="79">
        <v>0</v>
      </c>
      <c r="G20" s="80" t="s">
        <v>17</v>
      </c>
      <c r="H20" s="79"/>
      <c r="I20" s="79">
        <v>29</v>
      </c>
      <c r="J20" s="79">
        <v>29</v>
      </c>
      <c r="M20" s="80" t="s">
        <v>17</v>
      </c>
      <c r="N20" s="79">
        <v>28</v>
      </c>
      <c r="O20" s="79"/>
      <c r="P20" s="79">
        <v>28</v>
      </c>
    </row>
    <row r="21" spans="1:16" x14ac:dyDescent="0.25">
      <c r="A21" s="80" t="s">
        <v>61</v>
      </c>
      <c r="B21" s="79">
        <v>0</v>
      </c>
      <c r="C21" s="79">
        <v>7</v>
      </c>
      <c r="D21" s="79"/>
      <c r="E21" s="79">
        <v>7</v>
      </c>
      <c r="G21" s="80" t="s">
        <v>61</v>
      </c>
      <c r="H21" s="79">
        <v>3</v>
      </c>
      <c r="I21" s="79">
        <v>195</v>
      </c>
      <c r="J21" s="79">
        <v>198</v>
      </c>
      <c r="M21" s="80" t="s">
        <v>61</v>
      </c>
      <c r="N21" s="79">
        <v>72</v>
      </c>
      <c r="O21" s="79"/>
      <c r="P21" s="79">
        <v>72</v>
      </c>
    </row>
    <row r="22" spans="1:16" x14ac:dyDescent="0.25">
      <c r="A22" s="79"/>
      <c r="B22" s="79"/>
      <c r="C22" s="79"/>
      <c r="D22" s="79"/>
      <c r="E22" s="79"/>
    </row>
    <row r="23" spans="1:16" ht="25.5" x14ac:dyDescent="0.25">
      <c r="A23" s="78" t="s">
        <v>149</v>
      </c>
      <c r="B23" s="78" t="s">
        <v>135</v>
      </c>
      <c r="C23" s="79"/>
      <c r="D23" s="79"/>
      <c r="E23" s="79"/>
      <c r="G23" s="78" t="s">
        <v>150</v>
      </c>
      <c r="H23" s="78" t="s">
        <v>135</v>
      </c>
      <c r="I23" s="79"/>
      <c r="J23" s="79"/>
      <c r="K23" s="79"/>
    </row>
    <row r="24" spans="1:16" ht="25.5" x14ac:dyDescent="0.25">
      <c r="A24" s="78" t="s">
        <v>148</v>
      </c>
      <c r="B24" s="79" t="s">
        <v>31</v>
      </c>
      <c r="C24" s="79" t="s">
        <v>29</v>
      </c>
      <c r="D24" s="79" t="s">
        <v>136</v>
      </c>
      <c r="E24" s="79" t="s">
        <v>61</v>
      </c>
      <c r="G24" s="78" t="s">
        <v>148</v>
      </c>
      <c r="H24" s="79" t="s">
        <v>31</v>
      </c>
      <c r="I24" s="79" t="s">
        <v>29</v>
      </c>
      <c r="J24" s="79" t="s">
        <v>136</v>
      </c>
      <c r="K24" s="79" t="s">
        <v>61</v>
      </c>
    </row>
    <row r="25" spans="1:16" x14ac:dyDescent="0.25">
      <c r="A25" s="80" t="s">
        <v>10</v>
      </c>
      <c r="B25" s="79">
        <v>4</v>
      </c>
      <c r="C25" s="79"/>
      <c r="D25" s="79"/>
      <c r="E25" s="79">
        <v>4</v>
      </c>
      <c r="G25" s="80" t="s">
        <v>10</v>
      </c>
      <c r="H25" s="79"/>
      <c r="I25" s="79"/>
      <c r="J25" s="79"/>
      <c r="K25" s="79"/>
    </row>
    <row r="26" spans="1:16" x14ac:dyDescent="0.25">
      <c r="A26" s="80" t="s">
        <v>15</v>
      </c>
      <c r="B26" s="79">
        <v>11</v>
      </c>
      <c r="C26" s="79">
        <v>5</v>
      </c>
      <c r="D26" s="79"/>
      <c r="E26" s="79">
        <v>16</v>
      </c>
      <c r="G26" s="80" t="s">
        <v>15</v>
      </c>
      <c r="H26" s="79"/>
      <c r="I26" s="79">
        <v>1</v>
      </c>
      <c r="J26" s="79"/>
      <c r="K26" s="79">
        <v>1</v>
      </c>
    </row>
    <row r="27" spans="1:16" x14ac:dyDescent="0.25">
      <c r="A27" s="80" t="s">
        <v>16</v>
      </c>
      <c r="B27" s="79">
        <v>16</v>
      </c>
      <c r="C27" s="79"/>
      <c r="D27" s="79"/>
      <c r="E27" s="79">
        <v>16</v>
      </c>
      <c r="G27" s="80" t="s">
        <v>16</v>
      </c>
      <c r="H27" s="79"/>
      <c r="I27" s="79"/>
      <c r="J27" s="79"/>
      <c r="K27" s="79"/>
    </row>
    <row r="28" spans="1:16" x14ac:dyDescent="0.25">
      <c r="A28" s="80" t="s">
        <v>17</v>
      </c>
      <c r="B28" s="79">
        <v>28</v>
      </c>
      <c r="C28" s="79"/>
      <c r="D28" s="79"/>
      <c r="E28" s="79">
        <v>28</v>
      </c>
      <c r="G28" s="80" t="s">
        <v>17</v>
      </c>
      <c r="H28" s="79"/>
      <c r="I28" s="79"/>
      <c r="J28" s="79"/>
      <c r="K28" s="79"/>
    </row>
    <row r="29" spans="1:16" x14ac:dyDescent="0.25">
      <c r="A29" s="80" t="s">
        <v>61</v>
      </c>
      <c r="B29" s="79">
        <v>59</v>
      </c>
      <c r="C29" s="79">
        <v>5</v>
      </c>
      <c r="D29" s="79"/>
      <c r="E29" s="79">
        <v>64</v>
      </c>
      <c r="G29" s="80" t="s">
        <v>61</v>
      </c>
      <c r="H29" s="79"/>
      <c r="I29" s="79">
        <v>1</v>
      </c>
      <c r="J29" s="79"/>
      <c r="K29" s="79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61DF7-E6BC-4463-B52A-0DBE6E7CA31D}">
  <dimension ref="A1:X55"/>
  <sheetViews>
    <sheetView showGridLines="0" tabSelected="1" topLeftCell="A38" workbookViewId="0">
      <selection activeCell="K52" sqref="K52"/>
    </sheetView>
  </sheetViews>
  <sheetFormatPr defaultRowHeight="15" x14ac:dyDescent="0.25"/>
  <cols>
    <col min="1" max="1" width="16.5703125" customWidth="1"/>
    <col min="2" max="2" width="12.42578125" customWidth="1"/>
    <col min="3" max="3" width="12.5703125" customWidth="1"/>
    <col min="4" max="4" width="11.85546875" customWidth="1"/>
    <col min="5" max="5" width="12.42578125" customWidth="1"/>
    <col min="6" max="6" width="13.85546875" customWidth="1"/>
    <col min="8" max="8" width="15.140625" customWidth="1"/>
    <col min="9" max="10" width="16.28515625" customWidth="1"/>
    <col min="11" max="11" width="14.5703125" customWidth="1"/>
    <col min="12" max="12" width="10.7109375" customWidth="1"/>
    <col min="13" max="13" width="12.28515625" customWidth="1"/>
    <col min="14" max="14" width="11.42578125" customWidth="1"/>
    <col min="15" max="15" width="16" customWidth="1"/>
    <col min="16" max="16" width="15.5703125" customWidth="1"/>
    <col min="17" max="17" width="16" customWidth="1"/>
    <col min="19" max="19" width="12.42578125" customWidth="1"/>
    <col min="24" max="24" width="9.42578125" bestFit="1" customWidth="1"/>
  </cols>
  <sheetData>
    <row r="1" spans="1:24" ht="60" customHeight="1" thickBot="1" x14ac:dyDescent="0.3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spans="1:24" x14ac:dyDescent="0.25">
      <c r="A2" s="177" t="s">
        <v>151</v>
      </c>
      <c r="B2" s="178"/>
      <c r="C2" s="178"/>
      <c r="D2" s="170" t="s">
        <v>152</v>
      </c>
      <c r="E2" s="170"/>
      <c r="F2" s="171"/>
      <c r="G2" s="15"/>
      <c r="H2" s="150" t="s">
        <v>153</v>
      </c>
      <c r="I2" s="151"/>
      <c r="J2" s="151"/>
      <c r="K2" s="151"/>
      <c r="L2" s="151"/>
      <c r="M2" s="151"/>
      <c r="N2" s="152"/>
      <c r="P2" s="150" t="s">
        <v>154</v>
      </c>
      <c r="Q2" s="151"/>
      <c r="R2" s="151"/>
      <c r="S2" s="151"/>
      <c r="T2" s="151"/>
      <c r="U2" s="151"/>
      <c r="V2" s="151"/>
      <c r="W2" s="151"/>
      <c r="X2" s="152"/>
    </row>
    <row r="3" spans="1:24" ht="19.5" customHeight="1" x14ac:dyDescent="0.25">
      <c r="A3" s="176" t="s">
        <v>148</v>
      </c>
      <c r="B3" s="182" t="s">
        <v>151</v>
      </c>
      <c r="C3" s="182"/>
      <c r="D3" s="183" t="s">
        <v>155</v>
      </c>
      <c r="E3" s="183" t="s">
        <v>156</v>
      </c>
      <c r="F3" s="184" t="s">
        <v>157</v>
      </c>
      <c r="G3" s="3"/>
      <c r="H3" s="176" t="s">
        <v>148</v>
      </c>
      <c r="I3" s="133" t="s">
        <v>158</v>
      </c>
      <c r="J3" s="133"/>
      <c r="K3" s="182" t="s">
        <v>159</v>
      </c>
      <c r="L3" s="182"/>
      <c r="M3" s="182" t="s">
        <v>160</v>
      </c>
      <c r="N3" s="166" t="s">
        <v>161</v>
      </c>
      <c r="P3" s="162" t="s">
        <v>148</v>
      </c>
      <c r="Q3" s="163" t="s">
        <v>11</v>
      </c>
      <c r="R3" s="164"/>
      <c r="S3" s="163" t="s">
        <v>12</v>
      </c>
      <c r="T3" s="164"/>
      <c r="U3" s="163" t="s">
        <v>13</v>
      </c>
      <c r="V3" s="164"/>
      <c r="W3" s="163" t="s">
        <v>14</v>
      </c>
      <c r="X3" s="165"/>
    </row>
    <row r="4" spans="1:24" ht="18.75" customHeight="1" x14ac:dyDescent="0.25">
      <c r="A4" s="176"/>
      <c r="B4" s="82" t="s">
        <v>29</v>
      </c>
      <c r="C4" s="83" t="s">
        <v>31</v>
      </c>
      <c r="D4" s="183"/>
      <c r="E4" s="183"/>
      <c r="F4" s="184"/>
      <c r="G4" s="17"/>
      <c r="H4" s="176"/>
      <c r="I4" s="82" t="s">
        <v>29</v>
      </c>
      <c r="J4" s="83" t="s">
        <v>31</v>
      </c>
      <c r="K4" s="82" t="s">
        <v>29</v>
      </c>
      <c r="L4" s="83" t="s">
        <v>31</v>
      </c>
      <c r="M4" s="182"/>
      <c r="N4" s="166"/>
      <c r="P4" s="162"/>
      <c r="Q4" s="93" t="s">
        <v>162</v>
      </c>
      <c r="R4" s="93" t="s">
        <v>163</v>
      </c>
      <c r="S4" s="93" t="s">
        <v>162</v>
      </c>
      <c r="T4" s="93" t="s">
        <v>163</v>
      </c>
      <c r="U4" s="93" t="s">
        <v>162</v>
      </c>
      <c r="V4" s="93" t="s">
        <v>163</v>
      </c>
      <c r="W4" s="93" t="s">
        <v>162</v>
      </c>
      <c r="X4" s="105" t="s">
        <v>163</v>
      </c>
    </row>
    <row r="5" spans="1:24" ht="18" customHeight="1" x14ac:dyDescent="0.25">
      <c r="A5" s="96" t="s">
        <v>16</v>
      </c>
      <c r="B5" s="6">
        <f>COUNTIFS('Farmer Demand'!$B$3:$B$20000,"Haribati Marabi",'Farmer Demand'!$E$3:$E$20000,"Yes")</f>
        <v>11</v>
      </c>
      <c r="C5" s="6">
        <f>COUNTIFS('Farmer Demand'!$B$3:$B$20000,"Haribati Marabi",'Farmer Demand'!$E$3:$E$20000,"No")</f>
        <v>18</v>
      </c>
      <c r="D5" s="85">
        <f>SUMIFS('Farmer Demand'!$K$3:$K$20000,'Farmer Demand'!$B$3:$B$20000,"Haribati Marabi")</f>
        <v>5800</v>
      </c>
      <c r="E5" s="85">
        <f>SUMIFS('Input selling form'!$BE$3:$BE$20000, 'Input selling form'!$B$3:$B$20000,"Haribati Marabi")</f>
        <v>13200</v>
      </c>
      <c r="F5" s="97">
        <f>SUM(D5+E5)</f>
        <v>19000</v>
      </c>
      <c r="G5" s="5"/>
      <c r="H5" s="96" t="s">
        <v>16</v>
      </c>
      <c r="I5" s="6">
        <f>COUNTIFS('Farmer Demand'!$B$3:$B$20000,"Haribati Marabi",'Farmer Demand'!$I$3:$I$20000,"Yes")</f>
        <v>29</v>
      </c>
      <c r="J5" s="6">
        <f>COUNTIFS('Farmer Demand'!$B$3:$B$20000,"Haribati Marabi",'Farmer Demand'!$I$3:$I$20000,"No")</f>
        <v>0</v>
      </c>
      <c r="K5" s="6">
        <f>COUNTIFS('Input selling form'!$I$3:$I$20000,"Yes",'Input selling form'!$B$3:$B$20000,"Haribati Marabi")</f>
        <v>13</v>
      </c>
      <c r="L5" s="6">
        <f>COUNTIFS('Input selling form'!$I$3:$I$20000,"No",'Input selling form'!$B$3:$B$20000,"Haribati Marabi")</f>
        <v>16</v>
      </c>
      <c r="M5" s="84">
        <f>K5/I5</f>
        <v>0.44827586206896552</v>
      </c>
      <c r="N5" s="102">
        <f>(K5-I5)/I5</f>
        <v>-0.55172413793103448</v>
      </c>
      <c r="P5" s="114" t="s">
        <v>16</v>
      </c>
      <c r="Q5" s="6">
        <f>COUNTIFS('Farmer Demand'!$B$3:$B$20000,"Haribati Marabi",'Farmer Demand'!$F$3:$F$20000,"Dupta",'Farmer Demand'!$I$3:$I$20000,"Yes")</f>
        <v>0</v>
      </c>
      <c r="R5" s="6">
        <f>COUNTIFS('Input selling form'!$B$3:$B$20000,"Haribati Marabi",'Input selling form'!$I$3:$I$20000,"Yes",'Input selling form'!$F$3:$F$20000,"Dupta")</f>
        <v>0</v>
      </c>
      <c r="S5" s="6">
        <f>COUNTIFS('Farmer Demand'!$B$3:$B$20000,"Haribati Marabi",'Farmer Demand'!$F$3:$F$20000,"Harra Tikur",'Farmer Demand'!$I$3:$I$20000,"Yes")</f>
        <v>0</v>
      </c>
      <c r="T5" s="6">
        <f>COUNTIFS('Input selling form'!$B$3:$B$20000,"Haribati Marabi",'Input selling form'!$I$3:$I$20000,"Yes",'Input selling form'!$F$3:$F$20000,"Harra Tikur")</f>
        <v>0</v>
      </c>
      <c r="U5" s="6">
        <f>COUNTIFS('Farmer Demand'!$B$3:$B$20000,"Haribati Marabi",'Farmer Demand'!$F$3:$F$20000,"Sakri",'Farmer Demand'!$I$3:$I$20000,"Yes")</f>
        <v>29</v>
      </c>
      <c r="V5" s="6">
        <f>COUNTIFS('Input selling form'!$B$3:$B$20000,"Haribati Marabi",'Input selling form'!$I$3:$I$20000,"Yes",'Input selling form'!$F$3:$F$20000,"Sakri")</f>
        <v>13</v>
      </c>
      <c r="W5" s="6">
        <f>COUNTIFS('Farmer Demand'!$B$3:$B$20000,"Haribati Marabi",'Farmer Demand'!$F$3:$F$20000,"Silghiti",'Farmer Demand'!$I$3:$I$20000,"Yes")</f>
        <v>0</v>
      </c>
      <c r="X5" s="106">
        <f>COUNTIFS('Input selling form'!$B$3:$B$20000,"Haribati Marabi",'Input selling form'!$I$3:$I$20000,"Yes",'Input selling form'!$F$3:$F$20000,"Silghiti")</f>
        <v>0</v>
      </c>
    </row>
    <row r="6" spans="1:24" ht="15" customHeight="1" x14ac:dyDescent="0.25">
      <c r="A6" s="96" t="s">
        <v>15</v>
      </c>
      <c r="B6" s="6">
        <f>COUNTIFS('Farmer Demand'!$B$3:$B$20000,"Dhaniyan Bai",'Farmer Demand'!$E$3:$E$20000,"Yes")</f>
        <v>16</v>
      </c>
      <c r="C6" s="6">
        <f>COUNTIFS('Farmer Demand'!$B$3:$B$20000,"Dhaniyan Bai",'Farmer Demand'!$E$3:$E$20000,"No")</f>
        <v>0</v>
      </c>
      <c r="D6" s="85">
        <f>SUMIFS('Farmer Demand'!$K$3:$K$20000,'Farmer Demand'!$B$3:$B$20000,"Dhaniyan Bai")</f>
        <v>3000</v>
      </c>
      <c r="E6" s="85">
        <f>SUMIFS('Input selling form'!$BE$3:$BE$20000, 'Input selling form'!$B$3:$B$20000,"Dhaniyan Bai")</f>
        <v>12000</v>
      </c>
      <c r="F6" s="97">
        <f t="shared" ref="F6:F9" si="0">SUM(D6+E6)</f>
        <v>15000</v>
      </c>
      <c r="G6" s="5"/>
      <c r="H6" s="96" t="s">
        <v>15</v>
      </c>
      <c r="I6" s="6">
        <f>COUNTIFS('Farmer Demand'!$B$3:$B$20000,"Dhaniyan Bai",'Farmer Demand'!$I$3:$I$20000,"Yes")</f>
        <v>16</v>
      </c>
      <c r="J6" s="6">
        <f>COUNTIFS('Farmer Demand'!$B$3:$B$20000,"Dhaniyan Bai",'Farmer Demand'!$I$3:$I$20000,"No")</f>
        <v>0</v>
      </c>
      <c r="K6" s="6">
        <f>COUNTIFS('Input selling form'!$I$3:$I$20000,"Yes",'Input selling form'!$B$3:$B$20000,"Dhaniyan Bai")</f>
        <v>16</v>
      </c>
      <c r="L6" s="6">
        <f>COUNTIFS('Input selling form'!$I$3:$I$20000,"No",'Input selling form'!$B$3:$B$20000,"Dhaniyan Bai")</f>
        <v>0</v>
      </c>
      <c r="M6" s="84">
        <f>K6/I6</f>
        <v>1</v>
      </c>
      <c r="N6" s="102">
        <f>(K6-I6)/I6</f>
        <v>0</v>
      </c>
      <c r="P6" s="96" t="s">
        <v>15</v>
      </c>
      <c r="Q6" s="6">
        <f>COUNTIFS('Farmer Demand'!$B$3:$B$20000,"Dhaniyan Bai",'Farmer Demand'!$F$3:$F$20000,"Dupta",'Farmer Demand'!$I$3:$I$20000,"Yes")</f>
        <v>0</v>
      </c>
      <c r="R6" s="6">
        <f>COUNTIFS('Input selling form'!$B$3:$B$20000,"Dhaniyan Bai",'Input selling form'!$I$3:$I$20000,"Yes",'Input selling form'!$F$3:$F$20000,"Dupta")</f>
        <v>0</v>
      </c>
      <c r="S6" s="6">
        <f>COUNTIFS('Farmer Demand'!$B$3:$B$20000,"Dhaniyan Bai",'Farmer Demand'!$F$3:$F$20000,"Harra Tikur",'Farmer Demand'!$I$3:$I$20000,"Yes")</f>
        <v>0</v>
      </c>
      <c r="T6" s="6">
        <f>COUNTIFS('Input selling form'!$B$3:$B$20000,"Dhaniyan Bai",'Input selling form'!$I$3:$I$20000,"Yes",'Input selling form'!$F$3:$F$20000,"Harra Tikur")</f>
        <v>0</v>
      </c>
      <c r="U6" s="6">
        <f>COUNTIFS('Farmer Demand'!$B$3:$B$20000,"Dhaniyan Bai",'Farmer Demand'!$F$3:$F$20000,"Sakri",'Farmer Demand'!$I$3:$I$20000,"Yes")</f>
        <v>0</v>
      </c>
      <c r="V6" s="6">
        <f>COUNTIFS('Input selling form'!$B$3:$B$20000,"Dhaniyan Bai",'Input selling form'!$I$3:$I$20000,"Yes",'Input selling form'!$F$3:$F$20000,"Sakri")</f>
        <v>0</v>
      </c>
      <c r="W6" s="6">
        <f>COUNTIFS('Farmer Demand'!$B$3:$B$20000,"Dhaniyan Bai",'Farmer Demand'!$F$3:$F$20000,"Silghiti ",'Farmer Demand'!$I$3:$I$20000,"Yes")</f>
        <v>16</v>
      </c>
      <c r="X6" s="115">
        <f>COUNTIFS('Input selling form'!$B$3:$B$20000,"Dhaniyan Bai",'Input selling form'!$F$3:$F$20000,"Silghiti ",'Input selling form'!$I$3:$I$20000,"Yes")</f>
        <v>16</v>
      </c>
    </row>
    <row r="7" spans="1:24" ht="19.5" customHeight="1" x14ac:dyDescent="0.25">
      <c r="A7" s="96" t="s">
        <v>10</v>
      </c>
      <c r="B7" s="6">
        <f>COUNTIFS('Farmer Demand'!$B$3:$B$20000,"Anita Biswakarma",'Farmer Demand'!$E$3:$E$20000,"Yes")</f>
        <v>0</v>
      </c>
      <c r="C7" s="6">
        <f>COUNTIFS('Farmer Demand'!$B$3:$B$20000,"Anita Biswakarma",'Farmer Demand'!$E$3:$E$20000,"No")</f>
        <v>12</v>
      </c>
      <c r="D7" s="85">
        <f>SUMIFS('Farmer Demand'!$K$3:$K$20000,'Farmer Demand'!$B$3:$B$20000,"Anita Biswakarma")</f>
        <v>2400</v>
      </c>
      <c r="E7" s="85">
        <f>SUMIFS('Input selling form'!$BE$3:$BE$20000, 'Input selling form'!$B$3:$B$20000,"Anita Biswakarma")</f>
        <v>3600</v>
      </c>
      <c r="F7" s="97">
        <f t="shared" si="0"/>
        <v>6000</v>
      </c>
      <c r="G7" s="5"/>
      <c r="H7" s="96" t="s">
        <v>10</v>
      </c>
      <c r="I7" s="6">
        <f>COUNTIFS('Farmer Demand'!$B$3:$B$20000,"Anita Biswakarma",'Farmer Demand'!$I$3:$I$20000,"Yes")</f>
        <v>12</v>
      </c>
      <c r="J7" s="6">
        <f>COUNTIFS('Farmer Demand'!$B$3:$B$20000,"Haribati Marabi",'Farmer Demand'!$I$3:$I$20000,"No")</f>
        <v>0</v>
      </c>
      <c r="K7" s="6">
        <f>COUNTIFS('Input selling form'!$I$3:$I$20000,"Yes",'Input selling form'!$B$3:$B$20000,"Anita Biswakarma")</f>
        <v>4</v>
      </c>
      <c r="L7" s="6">
        <f>COUNTIFS('Input selling form'!$I$3:$I$20000,"No",'Input selling form'!$B$3:$B$20000,"Anita Biswakarma")</f>
        <v>8</v>
      </c>
      <c r="M7" s="84">
        <f>K7/I7</f>
        <v>0.33333333333333331</v>
      </c>
      <c r="N7" s="102">
        <f>(K7-I7)/I7</f>
        <v>-0.66666666666666663</v>
      </c>
      <c r="P7" s="96" t="s">
        <v>10</v>
      </c>
      <c r="Q7" s="6">
        <f>COUNTIFS('Farmer Demand'!$B$3:$B$20000,"Anita Biswakarma",'Farmer Demand'!$F$3:$F$20000,"Dupta",'Farmer Demand'!$I$3:$I$20000,"Yes")</f>
        <v>12</v>
      </c>
      <c r="R7" s="6">
        <f>COUNTIFS('Input selling form'!$B$3:$B$20000,"Anita Biswakarma",'Input selling form'!$I$3:$I$20000,"Yes",'Input selling form'!$F$3:$F$20000,"Dupta")</f>
        <v>4</v>
      </c>
      <c r="S7" s="6">
        <f>COUNTIFS('Farmer Demand'!$B$3:$B$20000,"Anita Biswakarma",'Farmer Demand'!$F$3:$F$20000,"Harra Tikur",'Farmer Demand'!$I$3:$I$20000,"Yes")</f>
        <v>0</v>
      </c>
      <c r="T7" s="6">
        <f>COUNTIFS('Input selling form'!$B$3:$B$20000,"Anita Biswakarma",'Input selling form'!$I$3:$I$20000,"Yes",'Input selling form'!$F$3:$F$20000,"Harra Tikur")</f>
        <v>0</v>
      </c>
      <c r="U7" s="6">
        <f>COUNTIFS('Farmer Demand'!$B$3:$B$20000,"Anita Biswakarma",'Farmer Demand'!$F$3:$F$20000,"Sakri",'Farmer Demand'!$I$3:$I$20000,"Yes")</f>
        <v>0</v>
      </c>
      <c r="V7" s="6">
        <f>COUNTIFS('Input selling form'!$B$3:$B$20000,"Anita Biswakarma",'Input selling form'!$I$3:$I$20000,"Yes",'Input selling form'!$F$3:$F$20000,"Sakri")</f>
        <v>0</v>
      </c>
      <c r="W7" s="6">
        <f>COUNTIFS('Farmer Demand'!$B$3:$B$20000,"Haribati Marabi",'Farmer Demand'!$F$3:$F$20000,"Silghiti",'Farmer Demand'!$I$3:$I$20000,"Yes")</f>
        <v>0</v>
      </c>
      <c r="X7" s="106">
        <f>COUNTIFS('Input selling form'!$B$3:$B$20000,"Anita Biswakarma",'Input selling form'!$I$3:$I$20000,"Yes",'Input selling form'!$F$3:$F$20000,"Silghiti")</f>
        <v>0</v>
      </c>
    </row>
    <row r="8" spans="1:24" ht="18" customHeight="1" x14ac:dyDescent="0.25">
      <c r="A8" s="96" t="s">
        <v>17</v>
      </c>
      <c r="B8" s="6">
        <f>COUNTIFS('Farmer Demand'!$B$3:$B$20000,"Nainwati Marawi",'Farmer Demand'!$E$3:$E$20000,"Yes")</f>
        <v>0</v>
      </c>
      <c r="C8" s="6">
        <f>COUNTIFS('Farmer Demand'!$B$3:$B$20000,"Nainwati Marawi",'Farmer Demand'!$E$3:$E$20000,"No")</f>
        <v>28</v>
      </c>
      <c r="D8" s="85">
        <f>SUMIFS('Farmer Demand'!$K$3:$K$20000,'Farmer Demand'!$B$3:$B$20000,"Nainwati Marawi")</f>
        <v>5600</v>
      </c>
      <c r="E8" s="85">
        <f>SUMIFS('Input selling form'!$BE$3:$BE$20000, 'Input selling form'!$B$3:$B$20000,"Nainwati Marawi")</f>
        <v>25200</v>
      </c>
      <c r="F8" s="97">
        <f t="shared" si="0"/>
        <v>30800</v>
      </c>
      <c r="G8" s="5"/>
      <c r="H8" s="96" t="s">
        <v>17</v>
      </c>
      <c r="I8" s="6">
        <f>COUNTIFS('Farmer Demand'!$B$3:$B$20000,"Nainwati Marawi",'Farmer Demand'!$I$3:$I$20000,"Yes")</f>
        <v>28</v>
      </c>
      <c r="J8" s="6">
        <f>COUNTIFS('Farmer Demand'!$B$3:$B$20000,"Nainwati Marawi",'Farmer Demand'!$I$3:$I$20000,"No")</f>
        <v>0</v>
      </c>
      <c r="K8" s="6">
        <f>COUNTIFS('Input selling form'!$I$3:$I$20000,"Yes",'Input selling form'!$B$3:$B$20000,"Nainwati Marawi")</f>
        <v>28</v>
      </c>
      <c r="L8" s="6">
        <f>COUNTIFS('Input selling form'!$I$3:$I$20000,"No",'Input selling form'!$B$3:$B$20000,"Nainwati Marawi")</f>
        <v>0</v>
      </c>
      <c r="M8" s="84">
        <f>K8/I8</f>
        <v>1</v>
      </c>
      <c r="N8" s="102">
        <f>(K8-I8)/I8</f>
        <v>0</v>
      </c>
      <c r="P8" s="96" t="s">
        <v>17</v>
      </c>
      <c r="Q8" s="6">
        <f>COUNTIFS('Farmer Demand'!$B$3:$B$20000,"Nainwati Marawi",'Farmer Demand'!$F$3:$F$20000,"Dupta",'Farmer Demand'!$I$3:$I$20000,"Yes")</f>
        <v>0</v>
      </c>
      <c r="R8" s="6">
        <f>COUNTIFS('Input selling form'!$B$3:$B$20000,"Nainwati Marawi",'Input selling form'!$I$3:$I$20000,"Yes",'Input selling form'!$F$3:$F$20000,"Dupta")</f>
        <v>0</v>
      </c>
      <c r="S8" s="6">
        <f>COUNTIFS('Farmer Demand'!$B$3:$B$20000,"Nainwati Marawi",'Farmer Demand'!$F$3:$F$20000,"Harra Tikur",'Farmer Demand'!$I$3:$I$20000,"Yes")</f>
        <v>28</v>
      </c>
      <c r="T8" s="6">
        <f>COUNTIFS('Input selling form'!$B$3:$B$20000,"Nainwati Marawi",'Input selling form'!$I$3:$I$20000,"Yes",'Input selling form'!$F$3:$F$20000,"Harra Tikur")</f>
        <v>28</v>
      </c>
      <c r="U8" s="6">
        <f>COUNTIFS('Farmer Demand'!$B$3:$B$20000,"Nainwati Marawi",'Farmer Demand'!$F$3:$F$20000,"Sakri",'Farmer Demand'!$I$3:$I$20000,"Yes")</f>
        <v>0</v>
      </c>
      <c r="V8" s="6">
        <f>COUNTIFS('Input selling form'!$B$3:$B$20000,"Nainwati Marawi",'Input selling form'!$I$3:$I$20000,"Yes",'Input selling form'!$F$3:$F$20000,"Sakri")</f>
        <v>0</v>
      </c>
      <c r="W8" s="6">
        <f>COUNTIFS('Farmer Demand'!$B$3:$B$20000,"HAnita Biswakarma",'Farmer Demand'!$F$3:$F$20000,"Sakri",'Farmer Demand'!$I$3:$I$20000,"Yes")</f>
        <v>0</v>
      </c>
      <c r="X8" s="106">
        <f>COUNTIFS('Input selling form'!$B$3:$B$20000,"Nainwati Marawi",'Input selling form'!$I$3:$I$20000,"Yes",'Input selling form'!$F$3:$F$20000,"Silghiti")</f>
        <v>0</v>
      </c>
    </row>
    <row r="9" spans="1:24" ht="26.25" thickBot="1" x14ac:dyDescent="0.3">
      <c r="A9" s="98" t="s">
        <v>164</v>
      </c>
      <c r="B9" s="99">
        <f>SUM(B5:B8)</f>
        <v>27</v>
      </c>
      <c r="C9" s="99">
        <f>SUM(C5:C8)</f>
        <v>58</v>
      </c>
      <c r="D9" s="100">
        <f>SUM(D5:D8)</f>
        <v>16800</v>
      </c>
      <c r="E9" s="100">
        <f>SUM(E5:E8)</f>
        <v>54000</v>
      </c>
      <c r="F9" s="101">
        <f t="shared" si="0"/>
        <v>70800</v>
      </c>
      <c r="G9" s="2"/>
      <c r="H9" s="98" t="s">
        <v>164</v>
      </c>
      <c r="I9" s="99">
        <f>SUM(I5:I8)</f>
        <v>85</v>
      </c>
      <c r="J9" s="99">
        <f>SUM(J5:J8)</f>
        <v>0</v>
      </c>
      <c r="K9" s="99">
        <f>SUM(K5:K8)</f>
        <v>61</v>
      </c>
      <c r="L9" s="99">
        <f>SUM(L5:L8)</f>
        <v>24</v>
      </c>
      <c r="M9" s="103">
        <f>K9/I9</f>
        <v>0.71764705882352942</v>
      </c>
      <c r="N9" s="104">
        <f>(K9-I9)/I9</f>
        <v>-0.28235294117647058</v>
      </c>
      <c r="P9" s="98" t="s">
        <v>164</v>
      </c>
      <c r="Q9" s="99">
        <f>SUM(Q5:Q8)</f>
        <v>12</v>
      </c>
      <c r="R9" s="99">
        <f t="shared" ref="R9:X9" si="1">SUM(R5:R8)</f>
        <v>4</v>
      </c>
      <c r="S9" s="99">
        <f t="shared" si="1"/>
        <v>28</v>
      </c>
      <c r="T9" s="99">
        <f t="shared" si="1"/>
        <v>28</v>
      </c>
      <c r="U9" s="99">
        <f t="shared" si="1"/>
        <v>29</v>
      </c>
      <c r="V9" s="99">
        <f t="shared" si="1"/>
        <v>13</v>
      </c>
      <c r="W9" s="99">
        <f t="shared" si="1"/>
        <v>16</v>
      </c>
      <c r="X9" s="116">
        <f t="shared" si="1"/>
        <v>16</v>
      </c>
    </row>
    <row r="10" spans="1:24" ht="15.75" thickBot="1" x14ac:dyDescent="0.3">
      <c r="A10" s="91"/>
      <c r="B10" s="2"/>
      <c r="C10" s="2"/>
      <c r="D10" s="124"/>
      <c r="E10" s="124"/>
      <c r="F10" s="124"/>
      <c r="G10" s="2"/>
      <c r="H10" s="91"/>
      <c r="I10" s="2"/>
      <c r="J10" s="2"/>
      <c r="K10" s="2"/>
      <c r="L10" s="2"/>
      <c r="M10" s="125"/>
      <c r="N10" s="126"/>
      <c r="P10" s="91"/>
      <c r="Q10" s="2"/>
      <c r="R10" s="2"/>
      <c r="S10" s="2"/>
      <c r="T10" s="2"/>
      <c r="U10" s="2"/>
      <c r="V10" s="2"/>
      <c r="W10" s="2"/>
      <c r="X10" s="2"/>
    </row>
    <row r="11" spans="1:24" x14ac:dyDescent="0.25">
      <c r="A11" s="179" t="s">
        <v>165</v>
      </c>
      <c r="B11" s="180"/>
      <c r="C11" s="180"/>
      <c r="D11" s="180"/>
      <c r="E11" s="180"/>
      <c r="F11" s="180"/>
      <c r="G11" s="180"/>
      <c r="H11" s="181"/>
      <c r="J11" s="179" t="s">
        <v>166</v>
      </c>
      <c r="K11" s="180"/>
      <c r="L11" s="180"/>
      <c r="M11" s="180"/>
      <c r="N11" s="180"/>
      <c r="O11" s="181"/>
      <c r="Q11" s="2"/>
      <c r="R11" s="2"/>
      <c r="S11" s="2"/>
      <c r="T11" s="2"/>
      <c r="U11" s="2"/>
      <c r="V11" s="2"/>
      <c r="W11" s="2"/>
      <c r="X11" s="2"/>
    </row>
    <row r="12" spans="1:24" ht="63.75" x14ac:dyDescent="0.25">
      <c r="A12" s="110" t="s">
        <v>148</v>
      </c>
      <c r="B12" s="92" t="s">
        <v>167</v>
      </c>
      <c r="C12" s="92" t="s">
        <v>39</v>
      </c>
      <c r="D12" s="92" t="s">
        <v>42</v>
      </c>
      <c r="E12" s="92" t="s">
        <v>49</v>
      </c>
      <c r="F12" s="92" t="s">
        <v>45</v>
      </c>
      <c r="G12" s="92" t="s">
        <v>168</v>
      </c>
      <c r="H12" s="111" t="s">
        <v>169</v>
      </c>
      <c r="J12" s="110" t="s">
        <v>148</v>
      </c>
      <c r="K12" s="10" t="s">
        <v>170</v>
      </c>
      <c r="L12" s="10" t="s">
        <v>171</v>
      </c>
      <c r="M12" s="10" t="s">
        <v>45</v>
      </c>
      <c r="N12" s="10" t="s">
        <v>172</v>
      </c>
      <c r="O12" s="123" t="s">
        <v>173</v>
      </c>
      <c r="Q12" s="2"/>
      <c r="R12" s="2"/>
      <c r="S12" s="2"/>
      <c r="T12" s="2"/>
      <c r="U12" s="2"/>
      <c r="V12" s="2"/>
      <c r="W12" s="2"/>
      <c r="X12" s="2"/>
    </row>
    <row r="13" spans="1:24" x14ac:dyDescent="0.25">
      <c r="A13" s="96" t="s">
        <v>16</v>
      </c>
      <c r="B13" s="6">
        <f>COUNTIFS('Input selling form'!$B$3:$B$20000,"Haribati Marabi",'Input selling form'!$J$3:$J$20000,"Lack of funds/Credit support")</f>
        <v>0</v>
      </c>
      <c r="C13" s="6">
        <f>COUNTIFS('Input selling form'!$B$3:$B$20000,"Haribati Marabi",'Input selling form'!$J$3:$J$20000,"Free distribution from Govt")</f>
        <v>3</v>
      </c>
      <c r="D13" s="6">
        <f>COUNTIFS('Input selling form'!$B$3:$B$20000,"Haribati Marabi",'Input selling form'!$J$3:$J$20000,"High Cost")</f>
        <v>5</v>
      </c>
      <c r="E13" s="6">
        <f>COUNTIFS('Input selling form'!$B$3:$B$20000,"Haribati Marabi",'Input selling form'!$J$3:$J$20000,"Bought from other vendor")</f>
        <v>3</v>
      </c>
      <c r="F13" s="6">
        <f>COUNTIFS('Input selling form'!$B$3:$B$20000,"Haribati Marabi",'Input selling form'!$J$3:$J$20000,"Previous year experience was not good")</f>
        <v>5</v>
      </c>
      <c r="G13" s="6">
        <f>COUNTIFS('Input selling form'!$B$3:$B$20000,"Haribati Marabi",'Input selling form'!$J$3:$J$20000,"Demand was not collected from farmer")</f>
        <v>0</v>
      </c>
      <c r="H13" s="106">
        <f>COUNTIFS('Input selling form'!$B$3:$B$20000,"Haribati Marabi",'Input selling form'!$J$3:$J$20000,"Not Applicable")</f>
        <v>13</v>
      </c>
      <c r="J13" s="96" t="s">
        <v>16</v>
      </c>
      <c r="K13" s="6">
        <f>COUNTIFS('Farmer Demand'!$B$3:$B20000,"Haribati Marabi",'Farmer Demand'!$J$3:$J$20000,"Not willing to purchase from FPC")</f>
        <v>0</v>
      </c>
      <c r="L13" s="6">
        <f>COUNTIFS('Farmer Demand'!$B$3:$B20000,"Haribati Marabi",'Farmer Demand'!$J$3:$J$20000,"High Price")</f>
        <v>0</v>
      </c>
      <c r="M13" s="6">
        <f>COUNTIFS('Farmer Demand'!$B$3:$B20000,"Haribati Marabi",'Farmer Demand'!$J$3:$J$20000,"Previous year experience was not good")</f>
        <v>0</v>
      </c>
      <c r="N13" s="6">
        <f>COUNTIFS('Farmer Demand'!$B$3:$B20000,"Haribati Marabi",'Farmer Demand'!$J$3:$J$20000,"Not decided about the crop")</f>
        <v>0</v>
      </c>
      <c r="O13" s="6">
        <f>COUNTIFS('Farmer Demand'!$B$3:$B20000,"Haribati Marabi",'Farmer Demand'!$J$3:$J$20000,"Not Applicable")</f>
        <v>29</v>
      </c>
      <c r="Q13" s="2"/>
      <c r="R13" s="2"/>
      <c r="S13" s="2"/>
      <c r="T13" s="2"/>
      <c r="U13" s="2"/>
      <c r="V13" s="2"/>
      <c r="W13" s="2"/>
      <c r="X13" s="2"/>
    </row>
    <row r="14" spans="1:24" x14ac:dyDescent="0.25">
      <c r="A14" s="96" t="s">
        <v>15</v>
      </c>
      <c r="B14" s="6">
        <f>COUNTIFS('Input selling form'!$B$3:$B$20000,"Dhaniyan Bai",'Input selling form'!$J$3:$J$20000,"Lack of funds/Credit support")</f>
        <v>0</v>
      </c>
      <c r="C14" s="6">
        <f>COUNTIFS('Input selling form'!$B$3:$B$20000,"Dhaniyan Bai",'Input selling form'!$J$3:$J$20000,"Free distribution from Govt")</f>
        <v>0</v>
      </c>
      <c r="D14" s="6">
        <f>COUNTIFS('Input selling form'!$B$3:$B$20000,"Dhaniyan Bai",'Input selling form'!$J$3:$J$20000,"High Cost")</f>
        <v>0</v>
      </c>
      <c r="E14" s="6">
        <f>COUNTIFS('Input selling form'!$B$3:$B$20000,"Dhaniyan Bai",'Input selling form'!$J$3:$J$20000,"Bought from other vendor")</f>
        <v>0</v>
      </c>
      <c r="F14" s="6">
        <f>COUNTIFS('Input selling form'!$B$3:$B$20000,"Dhaniyan Bai",'Input selling form'!$J$3:$J$20000,"Previous year experience was not good")</f>
        <v>0</v>
      </c>
      <c r="G14" s="6">
        <f>COUNTIFS('Input selling form'!$B$3:$B$20000,"Dhaniyan Bai",'Input selling form'!$J$3:$J$20000,"Demand was not collected from farmer")</f>
        <v>0</v>
      </c>
      <c r="H14" s="106">
        <f>COUNTIFS('Input selling form'!$B$3:$B$20000,"Dhaniyan Bai",'Input selling form'!$J$3:$J$20000,"Not Applicable")</f>
        <v>16</v>
      </c>
      <c r="J14" s="96" t="s">
        <v>15</v>
      </c>
      <c r="K14" s="6">
        <f>COUNTIFS('Farmer Demand'!$B$3:$B20000,"Dhaniyan Bai",'Farmer Demand'!$J$3:$J$20000,"Not willing to purchase from FPC")</f>
        <v>0</v>
      </c>
      <c r="L14" s="6">
        <f>COUNTIFS('Farmer Demand'!$B$3:$B20000,"Dhaniyan Bai",'Farmer Demand'!$J$3:$J$20000,"High Price")</f>
        <v>0</v>
      </c>
      <c r="M14" s="6">
        <f>COUNTIFS('Farmer Demand'!$B$3:$B20000,"Dhaniyan Bai",'Farmer Demand'!$J$3:$J$20000,"Previous year experience was not good")</f>
        <v>0</v>
      </c>
      <c r="N14" s="6">
        <f>COUNTIFS('Farmer Demand'!$B$3:$B20000,"Dhaniyan Bai",'Farmer Demand'!$J$3:$J$20000,"Not decided about the crop")</f>
        <v>0</v>
      </c>
      <c r="O14" s="6">
        <f>COUNTIFS('Farmer Demand'!$B$3:$B20000,"Dhaniyan Bai",'Farmer Demand'!$J$3:$J$20000,"Not Applicable")</f>
        <v>16</v>
      </c>
      <c r="Q14" s="2"/>
      <c r="R14" s="2"/>
      <c r="S14" s="2"/>
      <c r="T14" s="2"/>
      <c r="U14" s="2"/>
      <c r="V14" s="2"/>
      <c r="W14" s="2"/>
      <c r="X14" s="2"/>
    </row>
    <row r="15" spans="1:24" x14ac:dyDescent="0.25">
      <c r="A15" s="96" t="s">
        <v>10</v>
      </c>
      <c r="B15" s="6">
        <f>COUNTIFS('Input selling form'!$B$3:$B$20000,"Anita Biswakarma",'Input selling form'!$J$3:$J$20000,"Lack of funds/Credit support")</f>
        <v>0</v>
      </c>
      <c r="C15" s="6">
        <f>COUNTIFS('Input selling form'!$B$3:$B$20000,"Anita Biswakarma",'Input selling form'!$J$3:$J$20000,"Free distribution from Govt")</f>
        <v>1</v>
      </c>
      <c r="D15" s="6">
        <f>COUNTIFS('Input selling form'!$B$3:$B$20000,"Anita Biswakarma",'Input selling form'!$J$3:$J$20000,"High Cost")</f>
        <v>1</v>
      </c>
      <c r="E15" s="6">
        <f>COUNTIFS('Input selling form'!$B$3:$B$20000,"Anita Biswakarma",'Input selling form'!$J$3:$J$20000,"Bought from other vendor")</f>
        <v>6</v>
      </c>
      <c r="F15" s="6">
        <f>COUNTIFS('Input selling form'!$B$3:$B$20000,"Anita Biswakarma",'Input selling form'!$J$3:$J$20000,"Previous year experience was not good")</f>
        <v>0</v>
      </c>
      <c r="G15" s="6">
        <f>COUNTIFS('Input selling form'!$B$3:$B$20000,"Anita Biswakarma",'Input selling form'!$J$3:$J$20000,"Demand was not collected from farmer")</f>
        <v>0</v>
      </c>
      <c r="H15" s="106">
        <f>COUNTIFS('Input selling form'!$B$3:$B$20000,"Anita Biswakarma",'Input selling form'!$J$3:$J$20000,"Not Applicable")</f>
        <v>4</v>
      </c>
      <c r="J15" s="96" t="s">
        <v>10</v>
      </c>
      <c r="K15" s="6">
        <f>COUNTIFS('Farmer Demand'!$B$3:$B20000,"Anita Biswakarma",'Farmer Demand'!$J$3:$J$20000,"Not willing to purchase from FPC")</f>
        <v>0</v>
      </c>
      <c r="L15" s="6">
        <f>COUNTIFS('Farmer Demand'!$B$3:$B20000,"Anita Biswakarma",'Farmer Demand'!$J$3:$J$20000,"High Price")</f>
        <v>0</v>
      </c>
      <c r="M15" s="6">
        <f>COUNTIFS('Farmer Demand'!$B$3:$B20000,"Anita Biswakarma",'Farmer Demand'!$J$3:$J$20000,"Previous year experience was not good")</f>
        <v>0</v>
      </c>
      <c r="N15" s="6">
        <f>COUNTIFS('Farmer Demand'!$B$3:$B20000,"Anita Biswakarma",'Farmer Demand'!$J$3:$J$20000,"Not decided about the crop")</f>
        <v>0</v>
      </c>
      <c r="O15" s="6">
        <f>COUNTIFS('Farmer Demand'!$B$3:$B20000,"Anita Biswakarma",'Farmer Demand'!$J$3:$J$20000,"Not Applicable")</f>
        <v>12</v>
      </c>
      <c r="Q15" s="2"/>
      <c r="R15" s="2"/>
      <c r="S15" s="2"/>
      <c r="T15" s="2"/>
      <c r="U15" s="2"/>
      <c r="V15" s="2"/>
      <c r="W15" s="2"/>
      <c r="X15" s="2"/>
    </row>
    <row r="16" spans="1:24" x14ac:dyDescent="0.25">
      <c r="A16" s="96" t="s">
        <v>17</v>
      </c>
      <c r="B16" s="6">
        <f>COUNTIFS('Input selling form'!$B$3:$B$20000,"Nainwati Marawi",'Input selling form'!$J$3:$J$20000,"Lack of funds/Credit support")</f>
        <v>0</v>
      </c>
      <c r="C16" s="6">
        <f>COUNTIFS('Input selling form'!$B$3:$B$20000,"Nainwati Marawi",'Input selling form'!$J$3:$J$20000,"Free distribution from Govt")</f>
        <v>0</v>
      </c>
      <c r="D16" s="6">
        <f>COUNTIFS('Input selling form'!$B$3:$B$20000,"Nainwati Marawi",'Input selling form'!$J$3:$J$20000,"High Cost")</f>
        <v>0</v>
      </c>
      <c r="E16" s="6">
        <f>COUNTIFS('Input selling form'!$B$3:$B$20000,"Nainwati Marawi",'Input selling form'!$J$3:$J$20000,"Bought from other vendor")</f>
        <v>0</v>
      </c>
      <c r="F16" s="6">
        <f>COUNTIFS('Input selling form'!$B$3:$B$20000,"Nainwati Marawi",'Input selling form'!$J$3:$J$20000,"Previous year experience was not good")</f>
        <v>0</v>
      </c>
      <c r="G16" s="6">
        <f>COUNTIFS('Input selling form'!$B$3:$B$20000,"Nainwati Marawi",'Input selling form'!$J$3:$J$20000,"Demand was not collected from farmer")</f>
        <v>0</v>
      </c>
      <c r="H16" s="106">
        <f>COUNTIFS('Input selling form'!$B$3:$B$20000,"Nainwati Marawi",'Input selling form'!$J$3:$J$20000,"Not Applicable")</f>
        <v>28</v>
      </c>
      <c r="J16" s="96" t="s">
        <v>17</v>
      </c>
      <c r="K16" s="6">
        <f>COUNTIFS('Farmer Demand'!$B$3:$B20000,"Nainwati Marawi",'Farmer Demand'!$J$3:$J$20000,"Not willing to purchase from FPC")</f>
        <v>0</v>
      </c>
      <c r="L16" s="6">
        <f>COUNTIFS('Farmer Demand'!$B$3:$B20000,"Nainwati Marawi",'Farmer Demand'!$J$3:$J$20000,"High Price")</f>
        <v>0</v>
      </c>
      <c r="M16" s="6">
        <f>COUNTIFS('Farmer Demand'!$B$3:$B20000,"Nainwati Marawi",'Farmer Demand'!$J$3:$J$20000,"Previous year experience was not good")</f>
        <v>0</v>
      </c>
      <c r="N16" s="6">
        <f>COUNTIFS('Farmer Demand'!$B$3:$B20000,"Nainwati Marawi",'Farmer Demand'!$J$3:$J$20000,"Not decided about the crop")</f>
        <v>0</v>
      </c>
      <c r="O16" s="6">
        <f>COUNTIFS('Farmer Demand'!$B$3:$B20000,"Nainwati Marawi",'Farmer Demand'!$J$3:$J$20000,"Not Applicable")</f>
        <v>28</v>
      </c>
      <c r="Q16" s="2"/>
      <c r="R16" s="2"/>
      <c r="S16" s="2"/>
      <c r="T16" s="2"/>
      <c r="U16" s="2"/>
      <c r="V16" s="2"/>
      <c r="W16" s="2"/>
      <c r="X16" s="2"/>
    </row>
    <row r="17" spans="1:24" ht="15.75" thickBot="1" x14ac:dyDescent="0.3">
      <c r="A17" s="107" t="s">
        <v>8</v>
      </c>
      <c r="B17" s="112">
        <f>SUM(B13:B16)</f>
        <v>0</v>
      </c>
      <c r="C17" s="112">
        <f t="shared" ref="C17:H17" si="2">SUM(C13:C16)</f>
        <v>4</v>
      </c>
      <c r="D17" s="112">
        <f t="shared" si="2"/>
        <v>6</v>
      </c>
      <c r="E17" s="112">
        <f t="shared" si="2"/>
        <v>9</v>
      </c>
      <c r="F17" s="112">
        <f t="shared" si="2"/>
        <v>5</v>
      </c>
      <c r="G17" s="112">
        <f t="shared" si="2"/>
        <v>0</v>
      </c>
      <c r="H17" s="113">
        <f t="shared" si="2"/>
        <v>61</v>
      </c>
      <c r="J17" s="107" t="s">
        <v>8</v>
      </c>
      <c r="K17" s="112">
        <f>SUM(K13:K16)</f>
        <v>0</v>
      </c>
      <c r="L17" s="112">
        <f t="shared" ref="L17:O17" si="3">SUM(L13:L16)</f>
        <v>0</v>
      </c>
      <c r="M17" s="112">
        <f t="shared" si="3"/>
        <v>0</v>
      </c>
      <c r="N17" s="112">
        <f t="shared" si="3"/>
        <v>0</v>
      </c>
      <c r="O17" s="112">
        <f t="shared" si="3"/>
        <v>85</v>
      </c>
      <c r="Q17" s="2"/>
      <c r="R17" s="2"/>
      <c r="S17" s="2"/>
      <c r="T17" s="2"/>
      <c r="U17" s="2"/>
      <c r="V17" s="2"/>
      <c r="W17" s="2"/>
      <c r="X17" s="2"/>
    </row>
    <row r="18" spans="1:24" x14ac:dyDescent="0.25">
      <c r="A18" s="91"/>
      <c r="B18" s="2"/>
      <c r="C18" s="2"/>
      <c r="D18" s="124"/>
      <c r="E18" s="124"/>
      <c r="F18" s="124"/>
      <c r="G18" s="2"/>
      <c r="H18" s="91"/>
      <c r="I18" s="2"/>
      <c r="J18" s="2"/>
      <c r="K18" s="2"/>
      <c r="L18" s="2"/>
      <c r="M18" s="125"/>
      <c r="N18" s="126"/>
      <c r="P18" s="91"/>
      <c r="Q18" s="2"/>
      <c r="R18" s="2"/>
      <c r="S18" s="2"/>
      <c r="T18" s="2"/>
      <c r="U18" s="2"/>
      <c r="V18" s="2"/>
      <c r="W18" s="2"/>
      <c r="X18" s="2"/>
    </row>
    <row r="19" spans="1:24" ht="15.75" thickBot="1" x14ac:dyDescent="0.3">
      <c r="C19" s="81"/>
    </row>
    <row r="20" spans="1:24" x14ac:dyDescent="0.25">
      <c r="A20" s="153" t="s">
        <v>174</v>
      </c>
      <c r="B20" s="154"/>
      <c r="C20" s="154"/>
      <c r="D20" s="154"/>
      <c r="E20" s="154"/>
      <c r="F20" s="154"/>
      <c r="G20" s="154"/>
      <c r="H20" s="155"/>
    </row>
    <row r="21" spans="1:24" ht="20.25" customHeight="1" x14ac:dyDescent="0.25">
      <c r="A21" s="172" t="s">
        <v>148</v>
      </c>
      <c r="B21" s="144" t="s">
        <v>175</v>
      </c>
      <c r="C21" s="174" t="s">
        <v>176</v>
      </c>
      <c r="D21" s="174"/>
      <c r="E21" s="174"/>
      <c r="F21" s="174"/>
      <c r="G21" s="174"/>
      <c r="H21" s="175"/>
    </row>
    <row r="22" spans="1:24" x14ac:dyDescent="0.25">
      <c r="A22" s="173"/>
      <c r="B22" s="145"/>
      <c r="C22" s="93" t="s">
        <v>177</v>
      </c>
      <c r="D22" s="93" t="s">
        <v>178</v>
      </c>
      <c r="E22" s="93" t="s">
        <v>179</v>
      </c>
      <c r="F22" s="93" t="s">
        <v>180</v>
      </c>
      <c r="G22" s="93" t="s">
        <v>181</v>
      </c>
      <c r="H22" s="105" t="s">
        <v>182</v>
      </c>
    </row>
    <row r="23" spans="1:24" x14ac:dyDescent="0.25">
      <c r="A23" s="96" t="s">
        <v>16</v>
      </c>
      <c r="B23" s="6">
        <f>COUNTIFS('Farmer Demand'!$B$3:$B$20000,"Haribati Marabi",'Farmer Demand'!$L$3:$L$20000,"Yes")</f>
        <v>29</v>
      </c>
      <c r="C23" s="6">
        <f>COUNTIFS('Farmer Demand'!$B$3:$B$20000,"Haribati Marabi",'Farmer Demand'!$L$3:$L$20000,"Yes",'Farmer Demand'!$M$3:$M$20000,"70 days")</f>
        <v>0</v>
      </c>
      <c r="D23" s="6">
        <f>COUNTIFS('Farmer Demand'!$B$3:$B$20000,"Haribati Marabi",'Farmer Demand'!$L$3:$L$20000,"Yes",'Farmer Demand'!$M$3:$M$20000,"90 days")</f>
        <v>0</v>
      </c>
      <c r="E23" s="6">
        <f>COUNTIFS('Farmer Demand'!$B$3:$B$20000,"Haribati Marabi",'Farmer Demand'!$L$3:$L$20000,"Yes",'Farmer Demand'!$M$3:$M$20000,"110 days")</f>
        <v>0</v>
      </c>
      <c r="F23" s="6">
        <f>COUNTIFS('Farmer Demand'!$B$3:$B$20000,"Haribati Marabi",'Farmer Demand'!$L$3:$L$20000,"Yes",'Farmer Demand'!$M$3:$M$20000,"120 days")</f>
        <v>29</v>
      </c>
      <c r="G23" s="6">
        <f>COUNTIFS('Farmer Demand'!$B$3:$B$20000,"Haribati Marabi",'Farmer Demand'!$L$3:$L$20000,"Yes",'Farmer Demand'!$M$3:$M$20000,"130 days")</f>
        <v>0</v>
      </c>
      <c r="H23" s="106">
        <f>COUNTIFS('Farmer Demand'!$B$3:$B$20000,"Haribati Marabi",'Farmer Demand'!$L$3:$L$20000,"Yes",'Farmer Demand'!$M$3:$M$20000,"140 days")</f>
        <v>0</v>
      </c>
    </row>
    <row r="24" spans="1:24" ht="30" customHeight="1" x14ac:dyDescent="0.25">
      <c r="A24" s="96" t="s">
        <v>15</v>
      </c>
      <c r="B24" s="6">
        <f>COUNTIFS('Farmer Demand'!$B$3:$B$20000,"Dhaniyan Bai",'Farmer Demand'!$L$3:$L$20000,"Yes")</f>
        <v>16</v>
      </c>
      <c r="C24" s="6">
        <f>COUNTIFS('Farmer Demand'!$B$3:$B$20000,"Dhaniyan Bai",'Farmer Demand'!$L$3:$L$20000,"Yes",'Farmer Demand'!$M$3:$M$20000,"70 days")</f>
        <v>0</v>
      </c>
      <c r="D24" s="6">
        <f>COUNTIFS('Farmer Demand'!$B$3:$B$20000,"Dhaniyan Bai",'Farmer Demand'!$L$3:$L$20000,"Yes",'Farmer Demand'!$M$3:$M$20000,"90 days")</f>
        <v>1</v>
      </c>
      <c r="E24" s="6">
        <f>COUNTIFS('Farmer Demand'!$B$3:$B$20000,"Dhaniyan Bai",'Farmer Demand'!$L$3:$L$20000,"Yes",'Farmer Demand'!$M$3:$M$20000,"110 days")</f>
        <v>0</v>
      </c>
      <c r="F24" s="6">
        <f>COUNTIFS('Farmer Demand'!$B$3:$B$20000,"Dhaniyan Bai",'Farmer Demand'!$L$3:$L$20000,"Yes",'Farmer Demand'!$M$3:$M$20000,"120 days")</f>
        <v>15</v>
      </c>
      <c r="G24" s="6">
        <f>COUNTIFS('Farmer Demand'!$B$3:$B$20000,"Dhaniyan Bai",'Farmer Demand'!$L$3:$L$20000,"Yes",'Farmer Demand'!$M$3:$M$20000,"130 days")</f>
        <v>0</v>
      </c>
      <c r="H24" s="106">
        <f>COUNTIFS('Farmer Demand'!$B$3:$B$20000,"Dhaniyan Bai",'Farmer Demand'!$L$3:$L$20000,"Yes",'Farmer Demand'!$M$3:$M$20000,"140 days")</f>
        <v>0</v>
      </c>
    </row>
    <row r="25" spans="1:24" ht="30.75" customHeight="1" x14ac:dyDescent="0.25">
      <c r="A25" s="96" t="s">
        <v>10</v>
      </c>
      <c r="B25" s="6">
        <f>COUNTIFS('Farmer Demand'!$B$3:$B$20000,"Anita Biswakarma",'Farmer Demand'!$L$3:$L$20000,"Yes")</f>
        <v>12</v>
      </c>
      <c r="C25" s="6">
        <f>COUNTIFS('Farmer Demand'!$B$3:$B$20000,"Anita Biswakarma",'Farmer Demand'!$L$3:$L$20000,"Yes",'Farmer Demand'!$M$3:$M$20000,"70 days")</f>
        <v>0</v>
      </c>
      <c r="D25" s="6">
        <f>COUNTIFS('Farmer Demand'!$B$3:$B$20000,"Anita Biswakarma",'Farmer Demand'!$L$3:$L$20000,"Yes",'Farmer Demand'!$M$3:$M$20000,"90 days")</f>
        <v>0</v>
      </c>
      <c r="E25" s="6">
        <f>COUNTIFS('Farmer Demand'!$B$3:$B$20000,"Anita Biswakarma",'Farmer Demand'!$L$3:$L$20000,"Yes",'Farmer Demand'!$M$3:$M$20000,"110 days")</f>
        <v>0</v>
      </c>
      <c r="F25" s="6">
        <f>COUNTIFS('Farmer Demand'!$B$3:$B$20000,"Anita Biswakarma",'Farmer Demand'!$L$3:$L$20000,"Yes",'Farmer Demand'!$M$3:$M$20000,"120 days")</f>
        <v>12</v>
      </c>
      <c r="G25" s="6">
        <f>COUNTIFS('Farmer Demand'!$B$3:$B$20000,"Anita Biswakarma",'Farmer Demand'!$L$3:$L$20000,"Yes",'Farmer Demand'!$M$3:$M$20000,"130 days")</f>
        <v>0</v>
      </c>
      <c r="H25" s="106">
        <f>COUNTIFS('Farmer Demand'!$B$3:$B$20000,"Anita Biswakarma",'Farmer Demand'!$L$3:$L$20000,"Yes",'Farmer Demand'!$M$3:$M$20000,"140 days")</f>
        <v>0</v>
      </c>
    </row>
    <row r="26" spans="1:24" ht="17.25" customHeight="1" x14ac:dyDescent="0.25">
      <c r="A26" s="96" t="s">
        <v>17</v>
      </c>
      <c r="B26" s="6">
        <f>COUNTIFS('Farmer Demand'!$B$3:$B$20000,"Nainwati Marawi",'Farmer Demand'!$L$3:$L$20000,"Yes")</f>
        <v>28</v>
      </c>
      <c r="C26" s="6">
        <f>COUNTIFS('Farmer Demand'!$B$3:$B$20000,"Nainwati Marawi",'Farmer Demand'!$L$3:$L$20000,"Yes",'Farmer Demand'!$M$3:$M$20000,"70 days")</f>
        <v>0</v>
      </c>
      <c r="D26" s="6">
        <f>COUNTIFS('Farmer Demand'!$B$3:$B$20000,"Nainwati Marawi",'Farmer Demand'!$L$3:$L$20000,"Yes",'Farmer Demand'!$M$3:$M$20000,"90 days")</f>
        <v>0</v>
      </c>
      <c r="E26" s="6">
        <f>COUNTIFS('Farmer Demand'!$B$3:$B$20000,"Nainwati Marawi",'Farmer Demand'!$L$3:$L$20000,"Yes",'Farmer Demand'!$M$3:$M$20000,"110 days")</f>
        <v>0</v>
      </c>
      <c r="F26" s="6">
        <f>COUNTIFS('Farmer Demand'!$B$3:$B$20000,"Nainwati Marawi",'Farmer Demand'!$L$3:$L$20000,"Yes",'Farmer Demand'!$M$3:$M$20000,"120 days")</f>
        <v>28</v>
      </c>
      <c r="G26" s="6">
        <f>COUNTIFS('Farmer Demand'!$B$3:$B$20000,"Nainwati Marawi",'Farmer Demand'!$L$3:$L$20000,"Yes",'Farmer Demand'!$M$3:$M$20000,"130 days")</f>
        <v>0</v>
      </c>
      <c r="H26" s="106">
        <f>COUNTIFS('Farmer Demand'!$B$3:$B$20000,"Nainwati Marawi",'Farmer Demand'!$L$3:$L$20000,"Yes",'Farmer Demand'!$M$3:$M$20000,"140 days")</f>
        <v>0</v>
      </c>
    </row>
    <row r="27" spans="1:24" ht="15.75" thickBot="1" x14ac:dyDescent="0.3">
      <c r="A27" s="107" t="s">
        <v>8</v>
      </c>
      <c r="B27" s="108">
        <f>SUM(B23:B26)</f>
        <v>85</v>
      </c>
      <c r="C27" s="108">
        <f t="shared" ref="C27:H27" si="4">SUM(C23:C26)</f>
        <v>0</v>
      </c>
      <c r="D27" s="108">
        <f t="shared" si="4"/>
        <v>1</v>
      </c>
      <c r="E27" s="108">
        <f t="shared" si="4"/>
        <v>0</v>
      </c>
      <c r="F27" s="108">
        <f t="shared" si="4"/>
        <v>84</v>
      </c>
      <c r="G27" s="108">
        <f t="shared" si="4"/>
        <v>0</v>
      </c>
      <c r="H27" s="109">
        <f t="shared" si="4"/>
        <v>0</v>
      </c>
    </row>
    <row r="28" spans="1:24" ht="15.75" thickBot="1" x14ac:dyDescent="0.3">
      <c r="A28" s="87"/>
      <c r="B28" s="81"/>
      <c r="C28" s="81"/>
      <c r="D28" s="81"/>
      <c r="E28" s="81"/>
      <c r="F28" s="81"/>
      <c r="G28" s="81"/>
      <c r="H28" s="81"/>
    </row>
    <row r="29" spans="1:24" ht="16.5" thickBot="1" x14ac:dyDescent="0.3">
      <c r="A29" s="156" t="s">
        <v>183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8"/>
    </row>
    <row r="30" spans="1:24" ht="15.75" x14ac:dyDescent="0.25">
      <c r="A30" s="159" t="str">
        <f>'Farmer Demand'!L2</f>
        <v>Paddy</v>
      </c>
      <c r="B30" s="160"/>
      <c r="C30" s="160"/>
      <c r="D30" s="160"/>
      <c r="E30" s="160"/>
      <c r="F30" s="160"/>
      <c r="G30" s="161"/>
      <c r="I30" s="159" t="str">
        <f>'Farmer Demand'!W2</f>
        <v>Brinjal</v>
      </c>
      <c r="J30" s="160"/>
      <c r="K30" s="160"/>
      <c r="L30" s="160"/>
      <c r="M30" s="160"/>
      <c r="N30" s="160"/>
      <c r="O30" s="161"/>
    </row>
    <row r="31" spans="1:24" ht="22.5" customHeight="1" x14ac:dyDescent="0.25">
      <c r="A31" s="131" t="s">
        <v>148</v>
      </c>
      <c r="B31" s="144" t="s">
        <v>184</v>
      </c>
      <c r="C31" s="167" t="s">
        <v>185</v>
      </c>
      <c r="D31" s="167"/>
      <c r="E31" s="147" t="s">
        <v>186</v>
      </c>
      <c r="F31" s="168" t="s">
        <v>187</v>
      </c>
      <c r="G31" s="169"/>
      <c r="I31" s="131" t="s">
        <v>148</v>
      </c>
      <c r="J31" s="144" t="s">
        <v>188</v>
      </c>
      <c r="K31" s="146" t="s">
        <v>185</v>
      </c>
      <c r="L31" s="146"/>
      <c r="M31" s="147" t="s">
        <v>189</v>
      </c>
      <c r="N31" s="148" t="s">
        <v>187</v>
      </c>
      <c r="O31" s="149"/>
      <c r="P31" s="88"/>
    </row>
    <row r="32" spans="1:24" ht="21.75" customHeight="1" x14ac:dyDescent="0.25">
      <c r="A32" s="132"/>
      <c r="B32" s="145"/>
      <c r="C32" s="86" t="s">
        <v>190</v>
      </c>
      <c r="D32" s="95" t="s">
        <v>191</v>
      </c>
      <c r="E32" s="147"/>
      <c r="F32" s="94" t="s">
        <v>190</v>
      </c>
      <c r="G32" s="117" t="s">
        <v>191</v>
      </c>
      <c r="I32" s="132"/>
      <c r="J32" s="145"/>
      <c r="K32" s="86" t="s">
        <v>190</v>
      </c>
      <c r="L32" s="95" t="s">
        <v>191</v>
      </c>
      <c r="M32" s="147"/>
      <c r="N32" s="94" t="s">
        <v>190</v>
      </c>
      <c r="O32" s="117" t="s">
        <v>191</v>
      </c>
      <c r="P32" s="89"/>
    </row>
    <row r="33" spans="1:16" x14ac:dyDescent="0.25">
      <c r="A33" s="96" t="s">
        <v>16</v>
      </c>
      <c r="B33" s="6">
        <f>COUNTIFS('Farmer Demand'!$B$3:$B$20000,"Haribati Marabi",'Farmer Demand'!$L$3:$L$20000,"Yes")</f>
        <v>29</v>
      </c>
      <c r="C33" s="6">
        <f>SUMIFS('Farmer Demand'!$N$3:$N$20000,'Farmer Demand'!$B$3:$B$20000,"Haribati Marabi",'Farmer Demand'!$L$3:$L$20000,"Yes",'Farmer Demand'!$O$3:$O$20000,"KG")</f>
        <v>0</v>
      </c>
      <c r="D33" s="6">
        <f>SUMIFS('Farmer Demand'!$N$3:$N$20000,'Farmer Demand'!$B$3:$B$20000,"Haribati Marabi",'Farmer Demand'!$L$3:$L$20000,"Yes",'Farmer Demand'!$O$3:$O$20000,"Packets")</f>
        <v>29</v>
      </c>
      <c r="E33" s="6">
        <f>COUNTIFS('Input selling form'!$B$3:$B$20000,"Haribati Marabi",'Input selling form'!$K$3:$K$20000,"Yes")</f>
        <v>13</v>
      </c>
      <c r="F33" s="6">
        <f>SUMIFS('Input selling form'!$M$3:$M$20000,'Input selling form'!$N$3:$N$20000,"KG",'Input selling form'!$B$3:$B$20000,"Haribati Marabi",'Input selling form'!$K$3:$K$20000,"Yes")</f>
        <v>0</v>
      </c>
      <c r="G33" s="106">
        <f>SUMIFS('Input selling form'!$M$3:$M$20000,'Input selling form'!$N$3:$N$20000,"Packets",'Input selling form'!$B$3:$B$20000,"Haribati Marabi",'Input selling form'!$K$3:$K$20000,"Yes")</f>
        <v>13</v>
      </c>
      <c r="I33" s="96" t="s">
        <v>16</v>
      </c>
      <c r="J33" s="6">
        <f>COUNTIFS('Farmer Demand'!$B$3:$B$20000,"Haribati Marabi",'Farmer Demand'!$W$3:$W$20000,"Yes")</f>
        <v>0</v>
      </c>
      <c r="K33" s="6">
        <f>SUMIFS('Farmer Demand'!$X$3:$X$20000,'Farmer Demand'!$W$3:$W$20000,"Yes",'Farmer Demand'!$Y$3:$Y$20000,"KG",'Farmer Demand'!$B$3:$B$20000,"Haribati Marabi")</f>
        <v>0</v>
      </c>
      <c r="L33" s="6">
        <f>SUMIFS('Farmer Demand'!$X$3:$X$20000,'Farmer Demand'!$W$3:$W$20000,"Yes",'Farmer Demand'!$Y$3:$Y$20000,"Packets",'Farmer Demand'!$B$3:$B$20000,"Haribati Marabi")</f>
        <v>0</v>
      </c>
      <c r="M33" s="6">
        <f>COUNTIFS('Input selling form'!$B$3:$B$20000,"Haribati Marabi",'Input selling form'!$U$3:$U$20000,"Yes")</f>
        <v>0</v>
      </c>
      <c r="N33" s="6">
        <f>SUMIFS('Input selling form'!$V$3:$V$20000,'Input selling form'!$U$3:$U$20000,"Yes",'Input selling form'!$W$3:$W$20000,"KG",'Input selling form'!$B$3:$B$20000,"Haribati Marabi")</f>
        <v>0</v>
      </c>
      <c r="O33" s="106">
        <f>SUMIFS('Input selling form'!$V$3:$V$20000,'Input selling form'!$U$3:$U$20000,"Yes",'Input selling form'!$W$3:$W$20000,"Packets",'Input selling form'!$B$3:$B$20000,"Haribati Marabi")</f>
        <v>0</v>
      </c>
      <c r="P33" s="90"/>
    </row>
    <row r="34" spans="1:16" x14ac:dyDescent="0.25">
      <c r="A34" s="96" t="s">
        <v>15</v>
      </c>
      <c r="B34" s="6">
        <f>COUNTIFS('Farmer Demand'!$B$3:$B$20000,"Dhaniyan Bai",'Farmer Demand'!$L$3:$L$20000,"Yes")</f>
        <v>16</v>
      </c>
      <c r="C34" s="6">
        <f>SUMIFS('Farmer Demand'!$N$3:$N$20000,'Farmer Demand'!$B$3:$B$20000,"Dhaniyan Bai",'Farmer Demand'!$L$3:$L$20000,"Yes",'Farmer Demand'!$O$3:$O$20000,"KG")</f>
        <v>165</v>
      </c>
      <c r="D34" s="6">
        <f>SUMIFS('Farmer Demand'!$N$3:$N$20000,'Farmer Demand'!$B$3:$B$20000,"Dhaniyan Bai",'Farmer Demand'!$L$3:$L$20000,"Yes",'Farmer Demand'!$O$3:$O$20000,"Packets")</f>
        <v>13.25</v>
      </c>
      <c r="E34" s="6">
        <f>COUNTIFS('Input selling form'!$B$3:$B$20000,"Dhaniyan Bai",'Input selling form'!$K$3:$K$20000,"Yes")</f>
        <v>16</v>
      </c>
      <c r="F34" s="6">
        <f>SUMIFS('Input selling form'!$M$3:$M$20000,'Input selling form'!$N$3:$N$20000,"KG",'Input selling form'!$B$3:$B$20000,"Dhaniyan Bai",'Input selling form'!$K$3:$K$20000,"Yes")</f>
        <v>135</v>
      </c>
      <c r="G34" s="106">
        <f>SUMIFS('Input selling form'!$M$3:$M$20000,'Input selling form'!$N$3:$N$20000,"Packets",'Input selling form'!$B$3:$B$20000,"Dhaniyan Bai",'Input selling form'!$K$3:$K$20000,"Yes")</f>
        <v>13</v>
      </c>
      <c r="I34" s="96" t="s">
        <v>15</v>
      </c>
      <c r="J34" s="6">
        <f>COUNTIFS('Farmer Demand'!$B$3:$B$20000,"Dhaniyan Bai",'Farmer Demand'!$W$3:$W$20000,"Yes")</f>
        <v>5</v>
      </c>
      <c r="K34" s="6">
        <f>SUMIFS('Farmer Demand'!$X$3:$X$20000,'Farmer Demand'!$W$3:$W$20000,"Yes",'Farmer Demand'!$Y$3:$Y$20000,"KG",'Farmer Demand'!$B$3:$B$20000,"Dhaniyan Bai")</f>
        <v>0</v>
      </c>
      <c r="L34" s="6">
        <f>SUMIFS('Farmer Demand'!$X$3:$X$20000,'Farmer Demand'!$W$3:$W$20000,"Yes",'Farmer Demand'!$Y$3:$Y$20000,"Packets",'Farmer Demand'!$B$3:$B$20000,"Dhaniyan Bai")</f>
        <v>5</v>
      </c>
      <c r="M34" s="6">
        <f>COUNTIFS('Input selling form'!$B$3:$B$20000,"Dhaniyan Bai",'Input selling form'!$U$3:$U$20000,"Yes")</f>
        <v>5</v>
      </c>
      <c r="N34" s="6">
        <f>SUMIFS('Input selling form'!$V$3:$V$20000,'Input selling form'!$U$3:$U$20000,"Yes",'Input selling form'!$W$3:$W$20000,"KG",'Input selling form'!$B$3:$B$20000,"Dhaniyan Bai")</f>
        <v>0</v>
      </c>
      <c r="O34" s="106">
        <f>SUMIFS('Input selling form'!$V$3:$V$20000,'Input selling form'!$U$3:$U$20000,"Yes",'Input selling form'!$W$3:$W$20000,"Packets",'Input selling form'!$B$3:$B$20000,"Dhaniyan Bai")</f>
        <v>5</v>
      </c>
      <c r="P34" s="90"/>
    </row>
    <row r="35" spans="1:16" x14ac:dyDescent="0.25">
      <c r="A35" s="96" t="s">
        <v>10</v>
      </c>
      <c r="B35" s="6">
        <f>COUNTIFS('Farmer Demand'!$B$3:$B$20000,"Anita Biswakarma",'Farmer Demand'!$L$3:$L$20000,"Yes")</f>
        <v>12</v>
      </c>
      <c r="C35" s="6">
        <f>SUMIFS('Farmer Demand'!$N$3:$N$20000,'Farmer Demand'!$B$3:$B$20000,"Anita Biswakarma",'Farmer Demand'!$L$3:$L$20000,"Yes",'Farmer Demand'!$O$3:$O$20000,"KG")</f>
        <v>0</v>
      </c>
      <c r="D35" s="6">
        <f>SUMIFS('Farmer Demand'!$N$3:$N$20000,'Farmer Demand'!$B$3:$B$20000,"Anita Biswakarma",'Farmer Demand'!$L$3:$L$20000,"Yes",'Farmer Demand'!$O$3:$O$20000,"Packets")</f>
        <v>12</v>
      </c>
      <c r="E35" s="6">
        <f>COUNTIFS('Input selling form'!$B$3:$B$20000,"Anita Biswakarma",'Input selling form'!$K$3:$K$20000,"Yes")</f>
        <v>4</v>
      </c>
      <c r="F35" s="6">
        <f>SUMIFS('Input selling form'!$M$3:$M$20000,'Input selling form'!$N$3:$N$20000,"KG",'Input selling form'!$B$3:$B$20000,"Anita Biswakarma",'Input selling form'!$K$3:$K$20000,"Yes")</f>
        <v>0</v>
      </c>
      <c r="G35" s="106">
        <f>SUMIFS('Input selling form'!$M$3:$M$20000,'Input selling form'!$N$3:$N$20000,"Packets",'Input selling form'!$B$3:$B$20000,"Anita Biswakarma",'Input selling form'!$K$3:$K$20000,"Yes")</f>
        <v>5</v>
      </c>
      <c r="I35" s="96" t="s">
        <v>10</v>
      </c>
      <c r="J35" s="6">
        <f>COUNTIFS('Farmer Demand'!$B$3:$B$20000,"Anita Biswakarma",'Farmer Demand'!$W$3:$W$20000,"Yes")</f>
        <v>0</v>
      </c>
      <c r="K35" s="6">
        <f>SUMIFS('Farmer Demand'!$X$3:$X$20000,'Farmer Demand'!$W$3:$W$20000,"Yes",'Farmer Demand'!$Y$3:$Y$20000,"KG",'Farmer Demand'!$B$3:$B$20000,"Anita Biswakarma")</f>
        <v>0</v>
      </c>
      <c r="L35" s="6">
        <f>SUMIFS('Farmer Demand'!$X$3:$X$20000,'Farmer Demand'!$W$3:$W$20000,"Yes",'Farmer Demand'!$Y$3:$Y$20000,"Packets",'Farmer Demand'!$B$3:$B$20000,"Anita Biswakarma")</f>
        <v>0</v>
      </c>
      <c r="M35" s="6">
        <f>COUNTIFS('Input selling form'!$B$3:$B$20000,"Anita Biswakarma",'Input selling form'!$U$3:$U$20000,"Yes")</f>
        <v>0</v>
      </c>
      <c r="N35" s="6">
        <f>SUMIFS('Input selling form'!$V$3:$V$20000,'Input selling form'!$U$3:$U$20000,"Yes",'Input selling form'!$W$3:$W$20000,"KG",'Input selling form'!$B$3:$B$20000,"Anita Biswakarma")</f>
        <v>0</v>
      </c>
      <c r="O35" s="106">
        <f>SUMIFS('Input selling form'!$V$3:$V$20000,'Input selling form'!$U$3:$U$20000,"Yes",'Input selling form'!$W$3:$W$20000,"Packets",'Input selling form'!$B$3:$B$20000,"Anita Biswakarma")</f>
        <v>0</v>
      </c>
      <c r="P35" s="90"/>
    </row>
    <row r="36" spans="1:16" x14ac:dyDescent="0.25">
      <c r="A36" s="96" t="s">
        <v>17</v>
      </c>
      <c r="B36" s="6">
        <f>COUNTIFS('Farmer Demand'!$B$3:$B$20000,"Nainwati Marawi",'Farmer Demand'!$L$3:$L$20000,"Yes")</f>
        <v>28</v>
      </c>
      <c r="C36" s="6">
        <f>SUMIFS('Farmer Demand'!$N$3:$N$20000,'Farmer Demand'!$B$3:$B$20000,"Nainwati Marawi",'Farmer Demand'!$L$3:$L$20000,"Yes",'Farmer Demand'!$O$3:$O$20000,"KG")</f>
        <v>0</v>
      </c>
      <c r="D36" s="6">
        <f>SUMIFS('Farmer Demand'!$N$3:$N$20000,'Farmer Demand'!$B$3:$B$20000,"Nainwati Marawi",'Farmer Demand'!$L$3:$L$20000,"Yes",'Farmer Demand'!$O$3:$O$20000,"Packets")</f>
        <v>28</v>
      </c>
      <c r="E36" s="6">
        <f>COUNTIFS('Input selling form'!$B$3:$B$20000,"Nainwati Marawi",'Input selling form'!$K$3:$K$20000,"Yes")</f>
        <v>28</v>
      </c>
      <c r="F36" s="6">
        <f>SUMIFS('Input selling form'!$M$3:$M$20000,'Input selling form'!$N$3:$N$20000,"KG",'Input selling form'!$B$3:$B$20000,"Nainwati Marawi",'Input selling form'!$K$3:$K$20000,"Yes")</f>
        <v>0</v>
      </c>
      <c r="G36" s="106">
        <f>SUMIFS('Input selling form'!$M$3:$M$20000,'Input selling form'!$N$3:$N$20000,"Packets",'Input selling form'!$B$3:$B$20000,"Nainwati Marawi",'Input selling form'!$K$3:$K$20000,"Yes")</f>
        <v>29</v>
      </c>
      <c r="I36" s="96" t="s">
        <v>17</v>
      </c>
      <c r="J36" s="6">
        <f>COUNTIFS('Farmer Demand'!$B$3:$B$20000,"Nainwati Marawi",'Farmer Demand'!$W$3:$W$20000,"Yes")</f>
        <v>0</v>
      </c>
      <c r="K36" s="6">
        <f>SUMIFS('Farmer Demand'!$X$3:$X$20000,'Farmer Demand'!$W$3:$W$20000,"Yes",'Farmer Demand'!$Y$3:$Y$20000,"KG",'Farmer Demand'!$B$3:$B$20000,"Nainwati Marawi")</f>
        <v>0</v>
      </c>
      <c r="L36" s="6">
        <f>SUMIFS('Farmer Demand'!$X$3:$X$20000,'Farmer Demand'!$W$3:$W$20000,"Yes",'Farmer Demand'!$Y$3:$Y$20000,"Packets",'Farmer Demand'!$B$3:$B$20000,"Nainwati Marawi")</f>
        <v>0</v>
      </c>
      <c r="M36" s="6">
        <f>COUNTIFS('Input selling form'!$B$3:$B$20000,"Nainwati Marawi",'Input selling form'!$U$3:$U$20000,"Yes")</f>
        <v>0</v>
      </c>
      <c r="N36" s="6">
        <f>SUMIFS('Input selling form'!$V$3:$V$20000,'Input selling form'!$U$3:$U$20000,"Yes",'Input selling form'!$W$3:$W$20000,"KG",'Input selling form'!$B$3:$B$20000,"Nainwati Marawi")</f>
        <v>0</v>
      </c>
      <c r="O36" s="106">
        <f>SUMIFS('Input selling form'!$V$3:$V$20000,'Input selling form'!$U$3:$U$20000,"Yes",'Input selling form'!$W$3:$W$20000,"Packets",'Input selling form'!$B$3:$B$20000,"Nainwati Marawi")</f>
        <v>0</v>
      </c>
      <c r="P36" s="90"/>
    </row>
    <row r="37" spans="1:16" ht="39" thickBot="1" x14ac:dyDescent="0.3">
      <c r="A37" s="98" t="s">
        <v>192</v>
      </c>
      <c r="B37" s="118">
        <f>SUM(B33:B36)</f>
        <v>85</v>
      </c>
      <c r="C37" s="118">
        <f t="shared" ref="C37:D37" si="5">SUM(C33:C36)</f>
        <v>165</v>
      </c>
      <c r="D37" s="118">
        <f t="shared" si="5"/>
        <v>82.25</v>
      </c>
      <c r="E37" s="119">
        <f t="shared" ref="E37" si="6">SUM(E33:E36)</f>
        <v>61</v>
      </c>
      <c r="F37" s="119">
        <f t="shared" ref="F37" si="7">SUM(F33:F36)</f>
        <v>135</v>
      </c>
      <c r="G37" s="120">
        <f>SUM(G33:G36)</f>
        <v>60</v>
      </c>
      <c r="I37" s="98" t="s">
        <v>192</v>
      </c>
      <c r="J37" s="118">
        <f>SUM(J33:J36)</f>
        <v>5</v>
      </c>
      <c r="K37" s="118">
        <f>SUM(K33:K36)</f>
        <v>0</v>
      </c>
      <c r="L37" s="118">
        <f t="shared" ref="L37" si="8">SUM(L33:L36)</f>
        <v>5</v>
      </c>
      <c r="M37" s="119">
        <f t="shared" ref="M37" si="9">SUM(M33:M36)</f>
        <v>5</v>
      </c>
      <c r="N37" s="119">
        <f t="shared" ref="N37" si="10">SUM(N33:N36)</f>
        <v>0</v>
      </c>
      <c r="O37" s="120">
        <f t="shared" ref="O37" si="11">SUM(O33:O36)</f>
        <v>5</v>
      </c>
      <c r="P37" s="17"/>
    </row>
    <row r="38" spans="1:16" ht="15.75" thickBot="1" x14ac:dyDescent="0.3">
      <c r="A38" s="91"/>
      <c r="B38" s="2"/>
      <c r="C38" s="2"/>
      <c r="D38" s="2"/>
      <c r="E38" s="2"/>
      <c r="F38" s="2"/>
      <c r="G38" s="2"/>
      <c r="I38" s="91"/>
      <c r="J38" s="17"/>
      <c r="K38" s="17"/>
      <c r="L38" s="17"/>
      <c r="M38" s="17"/>
      <c r="N38" s="17"/>
      <c r="O38" s="17"/>
      <c r="P38" s="17"/>
    </row>
    <row r="39" spans="1:16" ht="15.75" x14ac:dyDescent="0.25">
      <c r="A39" s="138" t="str">
        <f>'Farmer Demand'!T2</f>
        <v xml:space="preserve"> Maize</v>
      </c>
      <c r="B39" s="139"/>
      <c r="C39" s="139"/>
      <c r="D39" s="139"/>
      <c r="E39" s="139"/>
      <c r="F39" s="139"/>
      <c r="G39" s="140"/>
      <c r="I39" s="141" t="str">
        <f>'Farmer Demand'!AI2</f>
        <v>Tomato</v>
      </c>
      <c r="J39" s="142"/>
      <c r="K39" s="142"/>
      <c r="L39" s="142"/>
      <c r="M39" s="142"/>
      <c r="N39" s="142"/>
      <c r="O39" s="143"/>
    </row>
    <row r="40" spans="1:16" ht="15" customHeight="1" x14ac:dyDescent="0.25">
      <c r="A40" s="131" t="s">
        <v>148</v>
      </c>
      <c r="B40" s="144" t="s">
        <v>193</v>
      </c>
      <c r="C40" s="167" t="s">
        <v>185</v>
      </c>
      <c r="D40" s="167"/>
      <c r="E40" s="147" t="s">
        <v>194</v>
      </c>
      <c r="F40" s="168" t="s">
        <v>187</v>
      </c>
      <c r="G40" s="169"/>
      <c r="I40" s="131" t="s">
        <v>148</v>
      </c>
      <c r="J40" s="144" t="s">
        <v>195</v>
      </c>
      <c r="K40" s="146" t="s">
        <v>185</v>
      </c>
      <c r="L40" s="146"/>
      <c r="M40" s="147" t="s">
        <v>189</v>
      </c>
      <c r="N40" s="148" t="s">
        <v>187</v>
      </c>
      <c r="O40" s="149"/>
    </row>
    <row r="41" spans="1:16" x14ac:dyDescent="0.25">
      <c r="A41" s="132"/>
      <c r="B41" s="145"/>
      <c r="C41" s="86" t="s">
        <v>190</v>
      </c>
      <c r="D41" s="95" t="s">
        <v>191</v>
      </c>
      <c r="E41" s="147"/>
      <c r="F41" s="94" t="s">
        <v>190</v>
      </c>
      <c r="G41" s="117" t="s">
        <v>191</v>
      </c>
      <c r="I41" s="132"/>
      <c r="J41" s="145"/>
      <c r="K41" s="86" t="s">
        <v>190</v>
      </c>
      <c r="L41" s="95" t="s">
        <v>191</v>
      </c>
      <c r="M41" s="147"/>
      <c r="N41" s="94" t="s">
        <v>190</v>
      </c>
      <c r="O41" s="117" t="s">
        <v>191</v>
      </c>
    </row>
    <row r="42" spans="1:16" x14ac:dyDescent="0.25">
      <c r="A42" s="96" t="s">
        <v>16</v>
      </c>
      <c r="B42" s="6">
        <f>COUNTIFS('Farmer Demand'!$B$3:$B$20000,"Haribati Marabi",'Farmer Demand'!$T$3:$T$20000,"Yes")</f>
        <v>0</v>
      </c>
      <c r="C42" s="6">
        <f>SUMIFS('Farmer Demand'!$U$3:$U$20000,'Farmer Demand'!$B$3:$B$20000,"Haribati Marabi",'Farmer Demand'!$T$3:$T$20000,"Yes",'Farmer Demand'!$V$3:$V$20000,"KG")</f>
        <v>0</v>
      </c>
      <c r="D42" s="6">
        <f>SUMIFS('Farmer Demand'!$U$3:$U$20000,'Farmer Demand'!$B$3:$B$20000,"Haribati Marabi",'Farmer Demand'!$T$3:$T$20000,"Yes",'Farmer Demand'!$V$3:$V$20000,"Packets")</f>
        <v>0</v>
      </c>
      <c r="E42" s="6">
        <f>COUNTIFS('Input selling form'!$B$3:$B$20000,"Haribati Marabi",'Input selling form'!$R$3:$R$20000,"Yes")</f>
        <v>0</v>
      </c>
      <c r="F42" s="6">
        <f>SUMIFS('Input selling form'!$S$3:$S$20000,'Input selling form'!$T$3:$T$20000,"KG",'Input selling form'!$B$3:$B$20000,"Haribati Marabi",'Input selling form'!$R$3:$R$20000,"Yes")</f>
        <v>0</v>
      </c>
      <c r="G42" s="106">
        <f>SUMIFS('Input selling form'!$S$3:$S$20000,'Input selling form'!$T$3:$T$20000,"Packets",'Input selling form'!$B$3:$B$20000,"Haribati Marabi",'Input selling form'!$R$3:$R$20000,"Yes")</f>
        <v>0</v>
      </c>
      <c r="I42" s="96" t="s">
        <v>16</v>
      </c>
      <c r="J42" s="6">
        <f>COUNTIFS('Farmer Demand'!$B$3:$B$20000,"Haribati Marabi",'Farmer Demand'!$AI$3:$AI$20000,"Yes")</f>
        <v>0</v>
      </c>
      <c r="K42" s="6">
        <f>SUMIFS('Farmer Demand'!$AJ$3:$AJ$20000,'Farmer Demand'!$AI$3:$AI$20000,"Yes",'Farmer Demand'!$AK$3:$AK$20000,"KG",'Farmer Demand'!$B$3:$B$20000,"Haribati Marabi")</f>
        <v>0</v>
      </c>
      <c r="L42" s="6">
        <f>SUMIFS('Farmer Demand'!$AJ$3:$AJ$20000,'Farmer Demand'!$AI$3:$AI$20000,"Yes",'Farmer Demand'!$AK$3:$AK$20000,"Packets",'Farmer Demand'!$B$3:$B$20000,"Haribati Marabi")</f>
        <v>0</v>
      </c>
      <c r="M42" s="6">
        <f>COUNTIFS('Input selling form'!$B$3:$B$20000,"Haribati Marabi",'Input selling form'!$AG$3:$AG$20000,"Yes")</f>
        <v>0</v>
      </c>
      <c r="N42" s="6">
        <f>SUMIFS('Input selling form'!$AH$3:$AH$20000,'Input selling form'!$AG$3:$AG$20000,"Yes",'Input selling form'!$AI$3:$AI$20000,"KG",'Input selling form'!$B$3:$B$20000,"Haribati Marabi")</f>
        <v>0</v>
      </c>
      <c r="O42" s="106">
        <f>SUMIFS('Input selling form'!$AH$3:$AH$20000,'Input selling form'!$AG$3:$AG$20000,"Yes",'Input selling form'!$AI$3:$AI$20000,"Packets",'Input selling form'!$B$3:$B$20000,"Haribati Marabi")</f>
        <v>0</v>
      </c>
    </row>
    <row r="43" spans="1:16" x14ac:dyDescent="0.25">
      <c r="A43" s="96" t="s">
        <v>15</v>
      </c>
      <c r="B43" s="6">
        <f>COUNTIFS('Farmer Demand'!$B$3:$B$20000,"Dhaniyan Bai",'Farmer Demand'!$T$3:$T$20000,"Yes")</f>
        <v>2</v>
      </c>
      <c r="C43" s="6">
        <f>SUMIFS('Farmer Demand'!$U$3:$U$20000,'Farmer Demand'!$B$3:$B$20000,"Dhaniyan Bai",'Farmer Demand'!$T$3:$T$20000,"Yes",'Farmer Demand'!$V$3:$V$20000,"KG")</f>
        <v>4</v>
      </c>
      <c r="D43" s="6">
        <f>SUMIFS('Farmer Demand'!$U$3:$U$20000,'Farmer Demand'!$B$3:$B$20000,"Dhaniyan Bai",'Farmer Demand'!$T$3:$T$20000,"Yes",'Farmer Demand'!$V$3:$V$20000,"Packets")</f>
        <v>0</v>
      </c>
      <c r="E43" s="6">
        <f>COUNTIFS('Input selling form'!$B$3:$B$20000,"Dhaniyan Bai",'Input selling form'!$R$3:$R$20000,"Yes")</f>
        <v>1</v>
      </c>
      <c r="F43" s="6">
        <f>SUMIFS('Input selling form'!$S$3:$S$20000,'Input selling form'!$T$3:$T$20000,"KG",'Input selling form'!$B$3:$B$20000,"Dhaniyan Bai",'Input selling form'!$R$3:$R$20000,"Yes")</f>
        <v>1</v>
      </c>
      <c r="G43" s="106">
        <f>SUMIFS('Input selling form'!$S$3:$S$20000,'Input selling form'!$T$3:$T$20000,"Packets",'Input selling form'!$B$3:$B$20000,"Dhaniyan Bai",'Input selling form'!$R$3:$R$20000,"Yes")</f>
        <v>0</v>
      </c>
      <c r="I43" s="96" t="s">
        <v>15</v>
      </c>
      <c r="J43" s="6">
        <f>COUNTIFS('Farmer Demand'!$B$3:$B$20000,"Dhaniyan Bai",'Farmer Demand'!$AI$3:$AI$20000,"Yes")</f>
        <v>7</v>
      </c>
      <c r="K43" s="6">
        <f>SUMIFS('Farmer Demand'!$AJ$3:$AJ$20000,'Farmer Demand'!$AI$3:$AI$20000,"Yes",'Farmer Demand'!$AK$3:$AK$20000,"KG",'Farmer Demand'!$B$3:$B$20000,"Dhaniyan Bai")</f>
        <v>0</v>
      </c>
      <c r="L43" s="6">
        <f>SUMIFS('Farmer Demand'!$AJ$3:$AJ$20000,'Farmer Demand'!$AI$3:$AI$20000,"Yes",'Farmer Demand'!$AK$3:$AK$20000,"Packets",'Farmer Demand'!$B$3:$B$20000,"Dhaniyan Bai")</f>
        <v>7</v>
      </c>
      <c r="M43" s="6">
        <f>COUNTIFS('Input selling form'!$B$3:$B$20000,"Dhaniyan Bai",'Input selling form'!$AG$3:$AG$20000,"Yes")</f>
        <v>7</v>
      </c>
      <c r="N43" s="6">
        <f>SUMIFS('Input selling form'!$AH$3:$AH$20000,'Input selling form'!$AG$3:$AG$20000,"Yes",'Input selling form'!$AI$3:$AI$20000,"KG",'Input selling form'!$B$3:$B$20000,"Dhaniyan Bai")</f>
        <v>0</v>
      </c>
      <c r="O43" s="106">
        <f>SUMIFS('Input selling form'!$AH$3:$AH$20000,'Input selling form'!$AG$3:$AG$20000,"Yes",'Input selling form'!$AI$3:$AI$20000,"Packets",'Input selling form'!$B$3:$B$20000,"Dhaniyan Bai")</f>
        <v>7</v>
      </c>
    </row>
    <row r="44" spans="1:16" ht="15.75" customHeight="1" x14ac:dyDescent="0.25">
      <c r="A44" s="96" t="s">
        <v>10</v>
      </c>
      <c r="B44" s="6">
        <f>COUNTIFS('Farmer Demand'!$B$3:$B$20000,"Anita Biswakarma",'Farmer Demand'!$T$3:$T$20000,"Yes")</f>
        <v>0</v>
      </c>
      <c r="C44" s="6">
        <f>SUMIFS('Farmer Demand'!$U$3:$U$20000,'Farmer Demand'!$B$3:$B$20000,"Anita Biswakarma",'Farmer Demand'!$T$3:$T$20000,"Yes",'Farmer Demand'!$V$3:$V$20000,"KG")</f>
        <v>0</v>
      </c>
      <c r="D44" s="6">
        <f>SUMIFS('Farmer Demand'!$U$3:$U$20000,'Farmer Demand'!$B$3:$B$20000,"Anita Biswakarma",'Farmer Demand'!$T$3:$T$20000,"Yes",'Farmer Demand'!$V$3:$V$20000,"Packets")</f>
        <v>0</v>
      </c>
      <c r="E44" s="6">
        <f>COUNTIFS('Input selling form'!$B$3:$B$20000,"Anita Biswakarma",'Input selling form'!$R$3:$R$20000,"Yes")</f>
        <v>0</v>
      </c>
      <c r="F44" s="6">
        <f>SUMIFS('Input selling form'!$S$3:$S$20000,'Input selling form'!$T$3:$T$20000,"KG",'Input selling form'!$B$3:$B$20000,"Anita Biswakarma",'Input selling form'!$R$3:$R$20000,"Yes")</f>
        <v>0</v>
      </c>
      <c r="G44" s="106">
        <f>SUMIFS('Input selling form'!$S$3:$S$20000,'Input selling form'!$T$3:$T$20000,"Packets",'Input selling form'!$B$3:$B$20000,"Anita Biswakarma",'Input selling form'!$R$3:$R$20000,"Yes")</f>
        <v>0</v>
      </c>
      <c r="I44" s="96" t="s">
        <v>10</v>
      </c>
      <c r="J44" s="6">
        <f>COUNTIFS('Farmer Demand'!$B$3:$B$20000,"Anita Biswakarma",'Farmer Demand'!$AI$3:$AI$20000,"Yes")</f>
        <v>0</v>
      </c>
      <c r="K44" s="6">
        <f>SUMIFS('Farmer Demand'!$AJ$3:$AJ$20000,'Farmer Demand'!$AI$3:$AI$20000,"Yes",'Farmer Demand'!$AK$3:$AK$20000,"KG",'Farmer Demand'!$B$3:$B$20000,"Anita Biswakarma")</f>
        <v>0</v>
      </c>
      <c r="L44" s="6">
        <f>SUMIFS('Farmer Demand'!$AJ$3:$AJ$20000,'Farmer Demand'!$AI$3:$AI$20000,"Yes",'Farmer Demand'!$AK$3:$AK$20000,"Packets",'Farmer Demand'!$B$3:$B$20000,"Anita Biswakarma")</f>
        <v>0</v>
      </c>
      <c r="M44" s="6">
        <f>COUNTIFS('Input selling form'!$B$3:$B$20000,"Anita Biswakarma",'Input selling form'!$AG$3:$AG$20000,"Yes")</f>
        <v>0</v>
      </c>
      <c r="N44" s="6">
        <f>SUMIFS('Input selling form'!$AH$3:$AH$20000,'Input selling form'!$AG$3:$AG$20000,"Yes",'Input selling form'!$AI$3:$AI$20000,"KG",'Input selling form'!$B$3:$B$20000,"Anita Biswakarma")</f>
        <v>0</v>
      </c>
      <c r="O44" s="106">
        <f>SUMIFS('Input selling form'!$AH$3:$AH$20000,'Input selling form'!$AG$3:$AG$20000,"Yes",'Input selling form'!$AI$3:$AI$20000,"Packets",'Input selling form'!$B$3:$B$20000,"Anita Biswakarma")</f>
        <v>0</v>
      </c>
    </row>
    <row r="45" spans="1:16" ht="14.25" customHeight="1" x14ac:dyDescent="0.25">
      <c r="A45" s="96" t="s">
        <v>17</v>
      </c>
      <c r="B45" s="6">
        <f>COUNTIFS('Farmer Demand'!$B$3:$B$20000,"Nainwati Marawi",'Farmer Demand'!$T$3:$T$20000,"Yes")</f>
        <v>0</v>
      </c>
      <c r="C45" s="6">
        <f>SUMIFS('Farmer Demand'!$U$3:$U$20000,'Farmer Demand'!$B$3:$B$20000,"Nainwati Marawi",'Farmer Demand'!$T$3:$T$20000,"Yes",'Farmer Demand'!$V$3:$V$20000,"KG")</f>
        <v>0</v>
      </c>
      <c r="D45" s="6">
        <f>SUMIFS('Farmer Demand'!$U$3:$U$20000,'Farmer Demand'!$B$3:$B$20000,"Nainwati Marawi",'Farmer Demand'!$T$3:$T$20000,"Yes",'Farmer Demand'!$V$3:$V$20000,"Packets")</f>
        <v>0</v>
      </c>
      <c r="E45" s="6">
        <f>COUNTIFS('Input selling form'!$B$3:$B$20000,"Nainwati Marawi",'Input selling form'!$R$3:$R$20000,"Yes")</f>
        <v>0</v>
      </c>
      <c r="F45" s="6">
        <f>SUMIFS('Input selling form'!$S$3:$S$20000,'Input selling form'!$T$3:$T$20000,"KG",'Input selling form'!$B$3:$B$20000,"Nainwati Marawi",'Input selling form'!$R$3:$R$20000,"Yes")</f>
        <v>0</v>
      </c>
      <c r="G45" s="106">
        <f>SUMIFS('Input selling form'!$S$3:$S$20000,'Input selling form'!$T$3:$T$20000,"Packets",'Input selling form'!$B$3:$B$20000,"Nainwati Marawi",'Input selling form'!$R$3:$R$20000,"Yes")</f>
        <v>0</v>
      </c>
      <c r="I45" s="96" t="s">
        <v>17</v>
      </c>
      <c r="J45" s="6">
        <f>COUNTIFS('Farmer Demand'!$B$3:$B$20000,"Nainwati Marawi",'Farmer Demand'!$AI$3:$AI$20000,"Yes")</f>
        <v>0</v>
      </c>
      <c r="K45" s="6">
        <f>SUMIFS('Farmer Demand'!$AJ$3:$AJ$20000,'Farmer Demand'!$AI$3:$AI$20000,"Yes",'Farmer Demand'!$AK$3:$AK$20000,"KG",'Farmer Demand'!$B$3:$B$20000,"Nainwati Marawi")</f>
        <v>0</v>
      </c>
      <c r="L45" s="6">
        <f>SUMIFS('Farmer Demand'!$AJ$3:$AJ$20000,'Farmer Demand'!$AI$3:$AI$20000,"Yes",'Farmer Demand'!$AK$3:$AK$20000,"Packets",'Farmer Demand'!$B$3:$B$20000,"Nainwati Marawi")</f>
        <v>0</v>
      </c>
      <c r="M45" s="6">
        <f>COUNTIFS('Input selling form'!$B$3:$B$20000,"Nainwati Marawi",'Input selling form'!$U$3:$U$20000,"Yes")</f>
        <v>0</v>
      </c>
      <c r="N45" s="6">
        <f>SUMIFS('Input selling form'!$AH$3:$AH$20000,'Input selling form'!$AG$3:$AG$20000,"Yes",'Input selling form'!$AI$3:$AI$20000,"KG",'Input selling form'!$B$3:$B$20000,"Nainwati Marawi")</f>
        <v>0</v>
      </c>
      <c r="O45" s="106">
        <f>SUMIFS('Input selling form'!$AH$3:$AH$20000,'Input selling form'!$AG$3:$AG$20000,"Yes",'Input selling form'!$AI$3:$AI$20000,"Packets",'Input selling form'!$B$3:$B$20000,"Nainwati Marawi")</f>
        <v>0</v>
      </c>
    </row>
    <row r="46" spans="1:16" ht="39" thickBot="1" x14ac:dyDescent="0.3">
      <c r="A46" s="98" t="s">
        <v>192</v>
      </c>
      <c r="B46" s="118">
        <f>SUM(B42:B45)</f>
        <v>2</v>
      </c>
      <c r="C46" s="118">
        <f>SUM(C42:C45)</f>
        <v>4</v>
      </c>
      <c r="D46" s="118">
        <f t="shared" ref="D46" si="12">SUM(D42:D45)</f>
        <v>0</v>
      </c>
      <c r="E46" s="119">
        <f t="shared" ref="E46" si="13">SUM(E42:E45)</f>
        <v>1</v>
      </c>
      <c r="F46" s="119">
        <f t="shared" ref="F46" si="14">SUM(F42:F45)</f>
        <v>1</v>
      </c>
      <c r="G46" s="120">
        <f>SUM(G42:G45)</f>
        <v>0</v>
      </c>
      <c r="I46" s="98" t="s">
        <v>192</v>
      </c>
      <c r="J46" s="118">
        <f>SUM(J42:J45)</f>
        <v>7</v>
      </c>
      <c r="K46" s="118">
        <f>SUM(K42:K45)</f>
        <v>0</v>
      </c>
      <c r="L46" s="118">
        <f t="shared" ref="L46" si="15">SUM(L42:L45)</f>
        <v>7</v>
      </c>
      <c r="M46" s="119">
        <f t="shared" ref="M46" si="16">SUM(M42:M45)</f>
        <v>7</v>
      </c>
      <c r="N46" s="119">
        <f t="shared" ref="N46" si="17">SUM(N42:N45)</f>
        <v>0</v>
      </c>
      <c r="O46" s="120">
        <f t="shared" ref="O46" si="18">SUM(O42:O45)</f>
        <v>7</v>
      </c>
    </row>
    <row r="47" spans="1:16" ht="15.75" thickBot="1" x14ac:dyDescent="0.3"/>
    <row r="48" spans="1:16" x14ac:dyDescent="0.25">
      <c r="A48" s="135" t="s">
        <v>196</v>
      </c>
      <c r="B48" s="136"/>
      <c r="C48" s="136"/>
      <c r="D48" s="136"/>
      <c r="E48" s="136"/>
      <c r="F48" s="136"/>
      <c r="G48" s="136"/>
      <c r="H48" s="136"/>
      <c r="I48" s="137"/>
    </row>
    <row r="49" spans="1:9" x14ac:dyDescent="0.25">
      <c r="A49" s="131" t="s">
        <v>148</v>
      </c>
      <c r="B49" s="133" t="s">
        <v>197</v>
      </c>
      <c r="C49" s="133"/>
      <c r="D49" s="133" t="s">
        <v>198</v>
      </c>
      <c r="E49" s="133"/>
      <c r="F49" s="133" t="s">
        <v>199</v>
      </c>
      <c r="G49" s="133"/>
      <c r="H49" s="133" t="s">
        <v>200</v>
      </c>
      <c r="I49" s="134"/>
    </row>
    <row r="50" spans="1:9" x14ac:dyDescent="0.25">
      <c r="A50" s="132"/>
      <c r="B50" s="4" t="s">
        <v>201</v>
      </c>
      <c r="C50" s="4" t="s">
        <v>202</v>
      </c>
      <c r="D50" s="4" t="s">
        <v>201</v>
      </c>
      <c r="E50" s="4" t="s">
        <v>202</v>
      </c>
      <c r="F50" s="4" t="s">
        <v>201</v>
      </c>
      <c r="G50" s="4" t="s">
        <v>202</v>
      </c>
      <c r="H50" s="4" t="s">
        <v>201</v>
      </c>
      <c r="I50" s="121" t="s">
        <v>202</v>
      </c>
    </row>
    <row r="51" spans="1:9" x14ac:dyDescent="0.25">
      <c r="A51" s="96" t="s">
        <v>16</v>
      </c>
      <c r="B51" s="6">
        <f>COUNTIFS('Farmer Demand'!$B$3:$B$20000,"Haribati Marabi",'Farmer Demand'!$BA$3:$BA$20000,"Yes")</f>
        <v>29</v>
      </c>
      <c r="C51" s="6">
        <f>COUNTIFS('Input selling form'!$B$3:$B$20000,"Haribati Marabi",'Input selling form'!$AS$3:$AS$20000,"Yes")</f>
        <v>16</v>
      </c>
      <c r="D51" s="6">
        <f>COUNTIFS('Farmer Demand'!$B$3:$B$20000,"Haribati Marabi",'Farmer Demand'!$BD$3:$BD$20000,"Yes")</f>
        <v>0</v>
      </c>
      <c r="E51" s="6">
        <f>COUNTIFS('Input selling form'!$B$3:$B$20000,"Haribati Marabi",'Input selling form'!$AV$3:$AV$20000,"Yes")</f>
        <v>8</v>
      </c>
      <c r="F51" s="6">
        <f>COUNTIFS('Farmer Demand'!$B$3:$B$20000,"Haribati Marabi",'Farmer Demand'!$BG$3:$BG$20000,"Yes")</f>
        <v>0</v>
      </c>
      <c r="G51" s="6">
        <f>COUNTIFS('Input selling form'!$B$3:$B$20000,"Haribati Marabi",'Input selling form'!$AY$3:$AY$20000,"Yes")</f>
        <v>4</v>
      </c>
      <c r="H51" s="6">
        <f>COUNTIFS('Farmer Demand'!$B$3:$B$20000,"Haribati Marabi",'Farmer Demand'!$BJ$3:$BJ$20000,"Yes")</f>
        <v>29</v>
      </c>
      <c r="I51" s="106">
        <f>COUNTIFS('Input selling form'!$B$3:$B$20000,"Haribati Marabi",'Input selling form'!$BB$3:$BB$20000,"Yes")</f>
        <v>16</v>
      </c>
    </row>
    <row r="52" spans="1:9" x14ac:dyDescent="0.25">
      <c r="A52" s="96" t="s">
        <v>15</v>
      </c>
      <c r="B52" s="6">
        <f>COUNTIFS('Farmer Demand'!$B$3:$B$20000,"Dhaniyan Bai",'Farmer Demand'!$BA$3:$BA$20000,"Yes")</f>
        <v>6</v>
      </c>
      <c r="C52" s="6">
        <f>COUNTIFS('Input selling form'!$B$3:$B$20000,"Dhaniyan Bai",'Input selling form'!$AS$3:$AS$20000,"Yes")</f>
        <v>16</v>
      </c>
      <c r="D52" s="6">
        <f>COUNTIFS('Farmer Demand'!$B$3:$B$20000,"Dhaniyan Bai",'Farmer Demand'!$BD$3:$BD$20000,"Yes")</f>
        <v>9</v>
      </c>
      <c r="E52" s="6">
        <f>COUNTIFS('Input selling form'!$B$3:$B$20000,"Dhaniyan Bai",'Input selling form'!$AV$3:$AV$20000,"Yes")</f>
        <v>8</v>
      </c>
      <c r="F52" s="6">
        <f>COUNTIFS('Farmer Demand'!$B$3:$B$20000,"Dhaniyan Bai",'Farmer Demand'!$BG$3:$BG$20000,"Yes")</f>
        <v>6</v>
      </c>
      <c r="G52" s="6">
        <f>COUNTIFS('Input selling form'!$B$3:$B$20000,"Dhaniyan Bai",'Input selling form'!$AY$3:$AY$20000,"Yes")</f>
        <v>6</v>
      </c>
      <c r="H52" s="6">
        <f>COUNTIFS('Farmer Demand'!$B$3:$B$20000,"Dhaniyan Bai",'Farmer Demand'!$BJ$3:$BJ$20000,"Yes")</f>
        <v>16</v>
      </c>
      <c r="I52" s="106">
        <f>COUNTIFS('Input selling form'!$B$3:$B$20000,"Dhaniyan Bai",'Input selling form'!$BB$3:$BB$20000,"Yes")</f>
        <v>16</v>
      </c>
    </row>
    <row r="53" spans="1:9" x14ac:dyDescent="0.25">
      <c r="A53" s="96" t="s">
        <v>10</v>
      </c>
      <c r="B53" s="6">
        <f>COUNTIFS('Farmer Demand'!$B$3:$B$20000,"Anita Biswakarma",'Farmer Demand'!$BA$3:$BA$20000,"Yes")</f>
        <v>12</v>
      </c>
      <c r="C53" s="6">
        <f>COUNTIFS('Input selling form'!$B$3:$B$20000,"Anita Biswakarma",'Input selling form'!$AS$3:$AS$20000,"Yes")</f>
        <v>4</v>
      </c>
      <c r="D53" s="6">
        <f>COUNTIFS('Farmer Demand'!$B$3:$B$20000,"Anita Biswakarma",'Farmer Demand'!$BD$3:$BD$20000,"Yes")</f>
        <v>0</v>
      </c>
      <c r="E53" s="6">
        <f>COUNTIFS('Input selling form'!$B$3:$B$20000,"Anita Biswakarma",'Input selling form'!$AV$3:$AV$20000,"Yes")</f>
        <v>2</v>
      </c>
      <c r="F53" s="6">
        <f>COUNTIFS('Farmer Demand'!$B$3:$B$20000,"Anita Biswakarma",'Farmer Demand'!$BG$3:$BG$20000,"Yes")</f>
        <v>0</v>
      </c>
      <c r="G53" s="6">
        <f>COUNTIFS('Input selling form'!$B$3:$B$20000,"Anita Biswakarma",'Input selling form'!$AY$3:$AY$20000,"Yes")</f>
        <v>1</v>
      </c>
      <c r="H53" s="6">
        <f>COUNTIFS('Farmer Demand'!$B$3:$B$20000,"Anita Biswakarma",'Farmer Demand'!$BJ$3:$BJ$20000,"Yes")</f>
        <v>12</v>
      </c>
      <c r="I53" s="106">
        <f>COUNTIFS('Input selling form'!$B$3:$B$20000,"Anita Biswakarma",'Input selling form'!$BB$3:$BB$20000,"Yes")</f>
        <v>4</v>
      </c>
    </row>
    <row r="54" spans="1:9" x14ac:dyDescent="0.25">
      <c r="A54" s="96" t="s">
        <v>17</v>
      </c>
      <c r="B54" s="6">
        <f>COUNTIFS('Farmer Demand'!$B$3:$B$20000,"Nainwati Marawi",'Farmer Demand'!$BA$3:$BA$20000,"Yes")</f>
        <v>28</v>
      </c>
      <c r="C54" s="6">
        <f>COUNTIFS('Input selling form'!$B$3:$B$20000,"Nainwati Marawi",'Input selling form'!$AS$3:$AS$20000,"Yes")</f>
        <v>28</v>
      </c>
      <c r="D54" s="6">
        <f>COUNTIFS('Farmer Demand'!$B$3:$B$20000,"Nainwati Marawi",'Farmer Demand'!$BD$3:$BD$20000,"Yes")</f>
        <v>0</v>
      </c>
      <c r="E54" s="6">
        <f>COUNTIFS('Input selling form'!$B$3:$B$20000,"Nainwati Marawi",'Input selling form'!$AV$3:$AV$20000,"Yes")</f>
        <v>11</v>
      </c>
      <c r="F54" s="6">
        <f>COUNTIFS('Farmer Demand'!$B$3:$B$20000,"Nainwati Marawi",'Farmer Demand'!$BG$3:$BG$20000,"Yes")</f>
        <v>0</v>
      </c>
      <c r="G54" s="6">
        <f>COUNTIFS('Input selling form'!$B$3:$B$20000,"Nainwati Marawi",'Input selling form'!$AY$3:$AY$20000,"Yes")</f>
        <v>10</v>
      </c>
      <c r="H54" s="6">
        <f>COUNTIFS('Farmer Demand'!$B$3:$B$20000,"Nainwati Marawi",'Farmer Demand'!$BJ$3:$BJ$20000,"Yes")</f>
        <v>28</v>
      </c>
      <c r="I54" s="106">
        <f>COUNTIFS('Input selling form'!$B$3:$B$20000,"Nainwati Marawi",'Input selling form'!$BB$3:$BB$20000,"Yes")</f>
        <v>28</v>
      </c>
    </row>
    <row r="55" spans="1:9" ht="39" thickBot="1" x14ac:dyDescent="0.3">
      <c r="A55" s="98" t="s">
        <v>192</v>
      </c>
      <c r="B55" s="118">
        <f>SUM(B51:B54)</f>
        <v>75</v>
      </c>
      <c r="C55" s="118">
        <f t="shared" ref="C55:I55" si="19">SUM(C51:C54)</f>
        <v>64</v>
      </c>
      <c r="D55" s="118">
        <f t="shared" si="19"/>
        <v>9</v>
      </c>
      <c r="E55" s="118">
        <f t="shared" si="19"/>
        <v>29</v>
      </c>
      <c r="F55" s="118">
        <f t="shared" si="19"/>
        <v>6</v>
      </c>
      <c r="G55" s="118">
        <f t="shared" si="19"/>
        <v>21</v>
      </c>
      <c r="H55" s="118">
        <f t="shared" si="19"/>
        <v>85</v>
      </c>
      <c r="I55" s="122">
        <f t="shared" si="19"/>
        <v>64</v>
      </c>
    </row>
  </sheetData>
  <mergeCells count="57">
    <mergeCell ref="J11:O11"/>
    <mergeCell ref="I3:J3"/>
    <mergeCell ref="K3:L3"/>
    <mergeCell ref="M3:M4"/>
    <mergeCell ref="B3:C3"/>
    <mergeCell ref="D3:D4"/>
    <mergeCell ref="E3:E4"/>
    <mergeCell ref="F3:F4"/>
    <mergeCell ref="B31:B32"/>
    <mergeCell ref="B21:B22"/>
    <mergeCell ref="E31:E32"/>
    <mergeCell ref="D2:F2"/>
    <mergeCell ref="A21:A22"/>
    <mergeCell ref="C21:H21"/>
    <mergeCell ref="H3:H4"/>
    <mergeCell ref="A2:C2"/>
    <mergeCell ref="A11:H11"/>
    <mergeCell ref="A3:A4"/>
    <mergeCell ref="C40:D40"/>
    <mergeCell ref="E40:E41"/>
    <mergeCell ref="F40:G40"/>
    <mergeCell ref="I31:I32"/>
    <mergeCell ref="J31:J32"/>
    <mergeCell ref="F31:G31"/>
    <mergeCell ref="C31:D31"/>
    <mergeCell ref="P2:X2"/>
    <mergeCell ref="H2:N2"/>
    <mergeCell ref="A20:H20"/>
    <mergeCell ref="N31:O31"/>
    <mergeCell ref="A29:O29"/>
    <mergeCell ref="A30:G30"/>
    <mergeCell ref="I30:O30"/>
    <mergeCell ref="K31:L31"/>
    <mergeCell ref="M31:M32"/>
    <mergeCell ref="P3:P4"/>
    <mergeCell ref="Q3:R3"/>
    <mergeCell ref="S3:T3"/>
    <mergeCell ref="U3:V3"/>
    <mergeCell ref="W3:X3"/>
    <mergeCell ref="N3:N4"/>
    <mergeCell ref="A31:A32"/>
    <mergeCell ref="A1:N1"/>
    <mergeCell ref="A49:A50"/>
    <mergeCell ref="B49:C49"/>
    <mergeCell ref="D49:E49"/>
    <mergeCell ref="F49:G49"/>
    <mergeCell ref="H49:I49"/>
    <mergeCell ref="A48:I48"/>
    <mergeCell ref="A39:G39"/>
    <mergeCell ref="I39:O39"/>
    <mergeCell ref="I40:I41"/>
    <mergeCell ref="J40:J41"/>
    <mergeCell ref="K40:L40"/>
    <mergeCell ref="M40:M41"/>
    <mergeCell ref="N40:O40"/>
    <mergeCell ref="A40:A41"/>
    <mergeCell ref="B40:B41"/>
  </mergeCells>
  <conditionalFormatting sqref="A17">
    <cfRule type="cellIs" dxfId="101" priority="10" operator="greaterThan">
      <formula>0</formula>
    </cfRule>
  </conditionalFormatting>
  <conditionalFormatting sqref="A27:H28 A29">
    <cfRule type="cellIs" dxfId="100" priority="41" operator="greaterThan">
      <formula>0</formula>
    </cfRule>
  </conditionalFormatting>
  <conditionalFormatting sqref="B51:B54">
    <cfRule type="cellIs" dxfId="99" priority="18" operator="greaterThan">
      <formula>0</formula>
    </cfRule>
  </conditionalFormatting>
  <conditionalFormatting sqref="B33:G36">
    <cfRule type="cellIs" dxfId="98" priority="47" operator="greaterThan">
      <formula>0</formula>
    </cfRule>
  </conditionalFormatting>
  <conditionalFormatting sqref="B42:G45">
    <cfRule type="cellIs" dxfId="97" priority="4" operator="greaterThan">
      <formula>0</formula>
    </cfRule>
  </conditionalFormatting>
  <conditionalFormatting sqref="B13:H17">
    <cfRule type="cellIs" dxfId="96" priority="9" operator="greaterThan">
      <formula>0</formula>
    </cfRule>
  </conditionalFormatting>
  <conditionalFormatting sqref="B23:H26">
    <cfRule type="cellIs" dxfId="95" priority="44" operator="greaterThan">
      <formula>0</formula>
    </cfRule>
  </conditionalFormatting>
  <conditionalFormatting sqref="C51:C54">
    <cfRule type="cellIs" dxfId="94" priority="11" operator="greaterThan">
      <formula>0</formula>
    </cfRule>
  </conditionalFormatting>
  <conditionalFormatting sqref="D51:D54">
    <cfRule type="cellIs" dxfId="93" priority="16" operator="greaterThan">
      <formula>0</formula>
    </cfRule>
  </conditionalFormatting>
  <conditionalFormatting sqref="E51:E54">
    <cfRule type="cellIs" dxfId="92" priority="2" operator="greaterThan">
      <formula>0</formula>
    </cfRule>
  </conditionalFormatting>
  <conditionalFormatting sqref="F51:F54">
    <cfRule type="cellIs" dxfId="91" priority="14" operator="greaterThan">
      <formula>0</formula>
    </cfRule>
  </conditionalFormatting>
  <conditionalFormatting sqref="G51:G54">
    <cfRule type="cellIs" dxfId="90" priority="1" operator="greaterThan">
      <formula>0</formula>
    </cfRule>
  </conditionalFormatting>
  <conditionalFormatting sqref="H51:H54">
    <cfRule type="cellIs" dxfId="89" priority="12" operator="greaterThan">
      <formula>0</formula>
    </cfRule>
  </conditionalFormatting>
  <conditionalFormatting sqref="I51:I54">
    <cfRule type="cellIs" dxfId="88" priority="3" operator="greaterThan">
      <formula>0</formula>
    </cfRule>
  </conditionalFormatting>
  <conditionalFormatting sqref="J17">
    <cfRule type="cellIs" dxfId="87" priority="6" operator="greaterThan">
      <formula>0</formula>
    </cfRule>
  </conditionalFormatting>
  <conditionalFormatting sqref="J33:L36">
    <cfRule type="cellIs" dxfId="86" priority="43" operator="greaterThan">
      <formula>0</formula>
    </cfRule>
  </conditionalFormatting>
  <conditionalFormatting sqref="J42:O45">
    <cfRule type="cellIs" dxfId="85" priority="7" operator="greaterThan">
      <formula>0</formula>
    </cfRule>
  </conditionalFormatting>
  <conditionalFormatting sqref="K13:O17">
    <cfRule type="cellIs" dxfId="84" priority="5" operator="greaterThan">
      <formula>0</formula>
    </cfRule>
  </conditionalFormatting>
  <conditionalFormatting sqref="N5:N10 M12:M17 N18">
    <cfRule type="cellIs" dxfId="83" priority="8" operator="lessThan">
      <formula>0</formula>
    </cfRule>
  </conditionalFormatting>
  <conditionalFormatting sqref="Q5:X18">
    <cfRule type="cellIs" dxfId="82" priority="42" operator="greaterThan">
      <formula>0</formula>
    </cfRule>
  </conditionalFormatting>
  <dataValidations count="1">
    <dataValidation type="list" allowBlank="1" showInputMessage="1" showErrorMessage="1" sqref="B12:G12" xr:uid="{B01F9FB4-7129-485C-9946-F498B0769FB4}">
      <formula1>"Lack of funds/Credit support, Demand was not collected from farmer, Previous year experience was not good, Free distribution from Govt, High Cost, Bought from other vendor"</formula1>
    </dataValidation>
  </dataValidations>
  <pageMargins left="0.7" right="0.7" top="0.75" bottom="0.75" header="0.3" footer="0.3"/>
  <ignoredErrors>
    <ignoredError sqref="C5 J6 W6 S6:S8 U5:U8" formula="1"/>
  </ignoredErrors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30F29F4-3282-4BC1-89C8-0B4E5A0DDDF8}">
          <x14:formula1>
            <xm:f>'Backup sheet'!$A$1:$A$5</xm:f>
          </x14:formula1>
          <xm:sqref>K12:O12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19FD3-2BEB-481E-AC4F-D334307A93A7}">
  <dimension ref="A1:P102"/>
  <sheetViews>
    <sheetView workbookViewId="0">
      <selection activeCell="R87" sqref="R87"/>
    </sheetView>
  </sheetViews>
  <sheetFormatPr defaultColWidth="10.7109375" defaultRowHeight="12.75" x14ac:dyDescent="0.25"/>
  <cols>
    <col min="1" max="1" width="7.42578125" style="3" customWidth="1"/>
    <col min="2" max="2" width="14.85546875" style="2" customWidth="1"/>
    <col min="3" max="3" width="12.28515625" style="2" customWidth="1"/>
    <col min="4" max="4" width="18.28515625" style="2" customWidth="1"/>
    <col min="5" max="5" width="10.85546875" style="3" customWidth="1"/>
    <col min="6" max="6" width="7.42578125" style="3" customWidth="1"/>
    <col min="7" max="7" width="8.7109375" style="5" customWidth="1"/>
    <col min="8" max="8" width="9.5703125" style="2" customWidth="1"/>
    <col min="9" max="9" width="7.42578125" style="3" customWidth="1"/>
    <col min="10" max="10" width="9.140625" style="5" customWidth="1"/>
    <col min="11" max="11" width="9.5703125" style="2" customWidth="1"/>
    <col min="12" max="12" width="8.5703125" style="3" customWidth="1"/>
    <col min="13" max="13" width="6.85546875" style="5" customWidth="1"/>
    <col min="14" max="14" width="13.85546875" style="3" customWidth="1"/>
    <col min="15" max="15" width="8.42578125" style="3" customWidth="1"/>
    <col min="16" max="16" width="7.42578125" style="3" customWidth="1"/>
    <col min="17" max="16384" width="10.7109375" style="3"/>
  </cols>
  <sheetData>
    <row r="1" spans="1:16" ht="43.5" customHeight="1" x14ac:dyDescent="0.25">
      <c r="A1" s="189" t="s">
        <v>244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</row>
    <row r="2" spans="1:16" s="2" customFormat="1" ht="39" customHeight="1" x14ac:dyDescent="0.25">
      <c r="A2" s="9" t="s">
        <v>245</v>
      </c>
      <c r="B2" s="8" t="s">
        <v>35</v>
      </c>
      <c r="C2" s="8" t="s">
        <v>208</v>
      </c>
      <c r="D2" s="8" t="s">
        <v>209</v>
      </c>
      <c r="E2" s="8" t="s">
        <v>246</v>
      </c>
      <c r="F2" s="9" t="s">
        <v>215</v>
      </c>
      <c r="G2" s="9" t="s">
        <v>216</v>
      </c>
      <c r="H2" s="8" t="s">
        <v>247</v>
      </c>
      <c r="I2" s="9" t="s">
        <v>215</v>
      </c>
      <c r="J2" s="9" t="s">
        <v>216</v>
      </c>
      <c r="K2" s="8" t="s">
        <v>248</v>
      </c>
      <c r="L2" s="9" t="s">
        <v>215</v>
      </c>
      <c r="M2" s="9" t="s">
        <v>216</v>
      </c>
      <c r="N2" s="8" t="s">
        <v>200</v>
      </c>
      <c r="O2" s="9" t="s">
        <v>215</v>
      </c>
      <c r="P2" s="9" t="s">
        <v>216</v>
      </c>
    </row>
    <row r="3" spans="1:16" s="5" customFormat="1" x14ac:dyDescent="0.25">
      <c r="A3" s="6">
        <f>'Farmer Demand'!A3</f>
        <v>1</v>
      </c>
      <c r="B3" s="6" t="str">
        <f>'Farmer Demand'!C3</f>
        <v>Kammo Dhurwey</v>
      </c>
      <c r="C3" s="6" t="str">
        <f>'Farmer Demand'!F3</f>
        <v xml:space="preserve">Silghiti </v>
      </c>
      <c r="D3" s="6" t="str">
        <f>'Farmer Demand'!G3</f>
        <v>Narayani SHG</v>
      </c>
      <c r="E3" s="6" t="s">
        <v>29</v>
      </c>
      <c r="F3" s="6">
        <v>6</v>
      </c>
      <c r="G3" s="6" t="s">
        <v>191</v>
      </c>
      <c r="H3" s="6" t="s">
        <v>29</v>
      </c>
      <c r="I3" s="6">
        <v>6</v>
      </c>
      <c r="J3" s="6" t="s">
        <v>191</v>
      </c>
      <c r="K3" s="6" t="s">
        <v>31</v>
      </c>
      <c r="L3" s="6"/>
      <c r="M3" s="6"/>
      <c r="N3" s="6" t="s">
        <v>29</v>
      </c>
      <c r="O3" s="6">
        <v>1</v>
      </c>
      <c r="P3" s="6" t="s">
        <v>249</v>
      </c>
    </row>
    <row r="4" spans="1:16" x14ac:dyDescent="0.25">
      <c r="A4" s="6">
        <f>'Farmer Demand'!A4</f>
        <v>2</v>
      </c>
      <c r="B4" s="6" t="str">
        <f>'Farmer Demand'!C4</f>
        <v>Indrawati</v>
      </c>
      <c r="C4" s="6" t="str">
        <f>'Farmer Demand'!F4</f>
        <v xml:space="preserve">Silghiti </v>
      </c>
      <c r="D4" s="6" t="str">
        <f>'Farmer Demand'!G4</f>
        <v>Jwala Tejaswani</v>
      </c>
      <c r="E4" s="6" t="s">
        <v>29</v>
      </c>
      <c r="F4" s="7"/>
      <c r="G4" s="6"/>
      <c r="H4" s="6" t="s">
        <v>31</v>
      </c>
      <c r="I4" s="7"/>
      <c r="J4" s="6"/>
      <c r="K4" s="6" t="s">
        <v>31</v>
      </c>
      <c r="L4" s="7"/>
      <c r="M4" s="6"/>
      <c r="N4" s="6" t="s">
        <v>29</v>
      </c>
      <c r="O4" s="6">
        <v>1</v>
      </c>
      <c r="P4" s="6" t="s">
        <v>249</v>
      </c>
    </row>
    <row r="5" spans="1:16" x14ac:dyDescent="0.25">
      <c r="A5" s="6">
        <f>'Farmer Demand'!A5</f>
        <v>3</v>
      </c>
      <c r="B5" s="6" t="str">
        <f>'Farmer Demand'!C5</f>
        <v>Sundariya Tekam</v>
      </c>
      <c r="C5" s="6" t="str">
        <f>'Farmer Demand'!F5</f>
        <v xml:space="preserve">Silghiti </v>
      </c>
      <c r="D5" s="6" t="str">
        <f>'Farmer Demand'!G5</f>
        <v>Jwala Tejaswani</v>
      </c>
      <c r="E5" s="6" t="s">
        <v>31</v>
      </c>
      <c r="F5" s="6"/>
      <c r="G5" s="6"/>
      <c r="H5" s="6" t="s">
        <v>29</v>
      </c>
      <c r="I5" s="7"/>
      <c r="J5" s="6"/>
      <c r="K5" s="6" t="s">
        <v>29</v>
      </c>
      <c r="L5" s="7"/>
      <c r="M5" s="6"/>
      <c r="N5" s="6" t="s">
        <v>29</v>
      </c>
      <c r="O5" s="6">
        <v>1</v>
      </c>
      <c r="P5" s="6" t="s">
        <v>249</v>
      </c>
    </row>
    <row r="6" spans="1:16" x14ac:dyDescent="0.25">
      <c r="A6" s="6">
        <f>'Farmer Demand'!A6</f>
        <v>4</v>
      </c>
      <c r="B6" s="6" t="str">
        <f>'Farmer Demand'!C6</f>
        <v>Sunita</v>
      </c>
      <c r="C6" s="6" t="str">
        <f>'Farmer Demand'!F6</f>
        <v xml:space="preserve">Silghiti </v>
      </c>
      <c r="D6" s="6" t="str">
        <f>'Farmer Demand'!G6</f>
        <v>Jagdamba</v>
      </c>
      <c r="E6" s="6" t="s">
        <v>31</v>
      </c>
      <c r="F6" s="6"/>
      <c r="G6" s="6"/>
      <c r="H6" s="6" t="s">
        <v>29</v>
      </c>
      <c r="I6" s="6"/>
      <c r="J6" s="6"/>
      <c r="K6" s="6" t="s">
        <v>29</v>
      </c>
      <c r="L6" s="6"/>
      <c r="M6" s="6"/>
      <c r="N6" s="6" t="s">
        <v>29</v>
      </c>
      <c r="O6" s="6">
        <v>1</v>
      </c>
      <c r="P6" s="6" t="s">
        <v>249</v>
      </c>
    </row>
    <row r="7" spans="1:16" x14ac:dyDescent="0.25">
      <c r="A7" s="6">
        <f>'Farmer Demand'!A7</f>
        <v>5</v>
      </c>
      <c r="B7" s="6" t="str">
        <f>'Farmer Demand'!C7</f>
        <v xml:space="preserve">Draupati Bai </v>
      </c>
      <c r="C7" s="6" t="str">
        <f>'Farmer Demand'!F7</f>
        <v xml:space="preserve">Silghiti </v>
      </c>
      <c r="D7" s="6" t="str">
        <f>'Farmer Demand'!G7</f>
        <v>Jwala Tejaswani</v>
      </c>
      <c r="E7" s="6" t="s">
        <v>31</v>
      </c>
      <c r="F7" s="29"/>
      <c r="G7" s="26"/>
      <c r="H7" s="6" t="s">
        <v>31</v>
      </c>
      <c r="I7" s="29"/>
      <c r="J7" s="26"/>
      <c r="K7" s="6" t="s">
        <v>31</v>
      </c>
      <c r="L7" s="29"/>
      <c r="M7" s="26"/>
      <c r="N7" s="6" t="s">
        <v>29</v>
      </c>
      <c r="O7" s="6">
        <v>1</v>
      </c>
      <c r="P7" s="6" t="s">
        <v>249</v>
      </c>
    </row>
    <row r="8" spans="1:16" x14ac:dyDescent="0.25">
      <c r="A8" s="6">
        <f>'Farmer Demand'!A8</f>
        <v>6</v>
      </c>
      <c r="B8" s="6" t="str">
        <f>'Farmer Demand'!C8</f>
        <v xml:space="preserve">Sashi Bairagi </v>
      </c>
      <c r="C8" s="6" t="str">
        <f>'Farmer Demand'!F8</f>
        <v xml:space="preserve">Silghiti </v>
      </c>
      <c r="D8" s="6" t="str">
        <f>'Farmer Demand'!G8</f>
        <v>Jwala Tejaswani</v>
      </c>
      <c r="E8" s="6" t="s">
        <v>31</v>
      </c>
      <c r="F8" s="29"/>
      <c r="G8" s="26"/>
      <c r="H8" s="6" t="s">
        <v>31</v>
      </c>
      <c r="I8" s="29"/>
      <c r="J8" s="26"/>
      <c r="K8" s="6" t="s">
        <v>31</v>
      </c>
      <c r="L8" s="29"/>
      <c r="M8" s="26"/>
      <c r="N8" s="6" t="s">
        <v>29</v>
      </c>
      <c r="O8" s="6">
        <v>1</v>
      </c>
      <c r="P8" s="6" t="s">
        <v>249</v>
      </c>
    </row>
    <row r="9" spans="1:16" x14ac:dyDescent="0.25">
      <c r="A9" s="6">
        <f>'Farmer Demand'!A9</f>
        <v>7</v>
      </c>
      <c r="B9" s="6" t="str">
        <f>'Farmer Demand'!C9</f>
        <v xml:space="preserve">Jeera Bai </v>
      </c>
      <c r="C9" s="6" t="str">
        <f>'Farmer Demand'!F9</f>
        <v xml:space="preserve">Silghiti </v>
      </c>
      <c r="D9" s="6" t="str">
        <f>'Farmer Demand'!G9</f>
        <v>Jagdamba</v>
      </c>
      <c r="E9" s="6" t="s">
        <v>31</v>
      </c>
      <c r="F9" s="29"/>
      <c r="G9" s="26"/>
      <c r="H9" s="6" t="s">
        <v>31</v>
      </c>
      <c r="I9" s="29"/>
      <c r="J9" s="26"/>
      <c r="K9" s="6" t="s">
        <v>31</v>
      </c>
      <c r="L9" s="29"/>
      <c r="M9" s="26"/>
      <c r="N9" s="6" t="s">
        <v>29</v>
      </c>
      <c r="O9" s="6">
        <v>1</v>
      </c>
      <c r="P9" s="6" t="s">
        <v>249</v>
      </c>
    </row>
    <row r="10" spans="1:16" x14ac:dyDescent="0.25">
      <c r="A10" s="6">
        <f>'Farmer Demand'!A10</f>
        <v>8</v>
      </c>
      <c r="B10" s="6" t="str">
        <f>'Farmer Demand'!C10</f>
        <v>Gomti</v>
      </c>
      <c r="C10" s="6" t="str">
        <f>'Farmer Demand'!F10</f>
        <v xml:space="preserve">Silghiti </v>
      </c>
      <c r="D10" s="6" t="str">
        <f>'Farmer Demand'!G10</f>
        <v>Durga</v>
      </c>
      <c r="E10" s="6" t="s">
        <v>31</v>
      </c>
      <c r="F10" s="6"/>
      <c r="G10" s="6"/>
      <c r="H10" s="6" t="s">
        <v>29</v>
      </c>
      <c r="I10" s="7"/>
      <c r="J10" s="6"/>
      <c r="K10" s="6" t="s">
        <v>29</v>
      </c>
      <c r="L10" s="7"/>
      <c r="M10" s="6"/>
      <c r="N10" s="6" t="s">
        <v>29</v>
      </c>
      <c r="O10" s="6">
        <v>1</v>
      </c>
      <c r="P10" s="6" t="s">
        <v>249</v>
      </c>
    </row>
    <row r="11" spans="1:16" x14ac:dyDescent="0.25">
      <c r="A11" s="6">
        <f>'Farmer Demand'!A11</f>
        <v>9</v>
      </c>
      <c r="B11" s="6" t="str">
        <f>'Farmer Demand'!C11</f>
        <v>Dooja Bai</v>
      </c>
      <c r="C11" s="6" t="str">
        <f>'Farmer Demand'!F11</f>
        <v xml:space="preserve">Silghiti </v>
      </c>
      <c r="D11" s="6" t="str">
        <f>'Farmer Demand'!G11</f>
        <v>Durga</v>
      </c>
      <c r="E11" s="6" t="s">
        <v>29</v>
      </c>
      <c r="F11" s="6"/>
      <c r="G11" s="6"/>
      <c r="H11" s="6" t="s">
        <v>29</v>
      </c>
      <c r="I11" s="7"/>
      <c r="J11" s="6"/>
      <c r="K11" s="6" t="s">
        <v>29</v>
      </c>
      <c r="L11" s="7"/>
      <c r="M11" s="6"/>
      <c r="N11" s="6" t="s">
        <v>29</v>
      </c>
      <c r="O11" s="6">
        <v>1</v>
      </c>
      <c r="P11" s="6" t="s">
        <v>249</v>
      </c>
    </row>
    <row r="12" spans="1:16" x14ac:dyDescent="0.25">
      <c r="A12" s="6">
        <f>'Farmer Demand'!A12</f>
        <v>10</v>
      </c>
      <c r="B12" s="6" t="str">
        <f>'Farmer Demand'!C12</f>
        <v>Tijan kulaste</v>
      </c>
      <c r="C12" s="6" t="str">
        <f>'Farmer Demand'!F12</f>
        <v xml:space="preserve">Silghiti </v>
      </c>
      <c r="D12" s="6" t="str">
        <f>'Farmer Demand'!G12</f>
        <v>Durga</v>
      </c>
      <c r="E12" s="6" t="s">
        <v>31</v>
      </c>
      <c r="F12" s="7"/>
      <c r="G12" s="6"/>
      <c r="H12" s="6" t="s">
        <v>31</v>
      </c>
      <c r="I12" s="7"/>
      <c r="J12" s="6"/>
      <c r="K12" s="6" t="s">
        <v>31</v>
      </c>
      <c r="L12" s="7"/>
      <c r="M12" s="6"/>
      <c r="N12" s="6" t="s">
        <v>29</v>
      </c>
      <c r="O12" s="6">
        <v>1</v>
      </c>
      <c r="P12" s="6" t="s">
        <v>249</v>
      </c>
    </row>
    <row r="13" spans="1:16" x14ac:dyDescent="0.25">
      <c r="A13" s="6">
        <f>'Farmer Demand'!A13</f>
        <v>11</v>
      </c>
      <c r="B13" s="6" t="str">
        <f>'Farmer Demand'!C13</f>
        <v>Dukhiya Tekam</v>
      </c>
      <c r="C13" s="6" t="str">
        <f>'Farmer Demand'!F13</f>
        <v xml:space="preserve">Silghiti </v>
      </c>
      <c r="D13" s="6" t="str">
        <f>'Farmer Demand'!G13</f>
        <v>Jwala</v>
      </c>
      <c r="E13" s="6" t="s">
        <v>29</v>
      </c>
      <c r="F13" s="6"/>
      <c r="G13" s="6"/>
      <c r="H13" s="6" t="s">
        <v>29</v>
      </c>
      <c r="I13" s="7"/>
      <c r="J13" s="6"/>
      <c r="K13" s="6" t="s">
        <v>29</v>
      </c>
      <c r="L13" s="7"/>
      <c r="M13" s="6"/>
      <c r="N13" s="6" t="s">
        <v>29</v>
      </c>
      <c r="O13" s="6">
        <v>1</v>
      </c>
      <c r="P13" s="6" t="s">
        <v>249</v>
      </c>
    </row>
    <row r="14" spans="1:16" x14ac:dyDescent="0.25">
      <c r="A14" s="6">
        <f>'Farmer Demand'!A14</f>
        <v>12</v>
      </c>
      <c r="B14" s="6" t="str">
        <f>'Farmer Demand'!C14</f>
        <v xml:space="preserve">Meera Bai </v>
      </c>
      <c r="C14" s="6" t="str">
        <f>'Farmer Demand'!F14</f>
        <v xml:space="preserve">Silghiti </v>
      </c>
      <c r="D14" s="6" t="str">
        <f>'Farmer Demand'!G14</f>
        <v>Jagdamba</v>
      </c>
      <c r="E14" s="6" t="s">
        <v>29</v>
      </c>
      <c r="F14" s="6">
        <v>10</v>
      </c>
      <c r="G14" s="6" t="s">
        <v>190</v>
      </c>
      <c r="H14" s="6" t="s">
        <v>29</v>
      </c>
      <c r="I14" s="6">
        <v>10</v>
      </c>
      <c r="J14" s="6" t="s">
        <v>190</v>
      </c>
      <c r="K14" s="6" t="s">
        <v>31</v>
      </c>
      <c r="L14" s="7"/>
      <c r="M14" s="6"/>
      <c r="N14" s="6" t="s">
        <v>29</v>
      </c>
      <c r="O14" s="6">
        <v>1</v>
      </c>
      <c r="P14" s="6" t="s">
        <v>249</v>
      </c>
    </row>
    <row r="15" spans="1:16" x14ac:dyDescent="0.25">
      <c r="A15" s="6">
        <f>'Farmer Demand'!A15</f>
        <v>13</v>
      </c>
      <c r="B15" s="6" t="str">
        <f>'Farmer Demand'!C15</f>
        <v>Chindo Bai</v>
      </c>
      <c r="C15" s="6" t="str">
        <f>'Farmer Demand'!F15</f>
        <v xml:space="preserve">Silghiti </v>
      </c>
      <c r="D15" s="6" t="str">
        <f>'Farmer Demand'!G15</f>
        <v>Jagdamba</v>
      </c>
      <c r="E15" s="6" t="s">
        <v>31</v>
      </c>
      <c r="F15" s="29"/>
      <c r="G15" s="26"/>
      <c r="H15" s="6" t="s">
        <v>31</v>
      </c>
      <c r="I15" s="29"/>
      <c r="J15" s="26"/>
      <c r="K15" s="6" t="s">
        <v>31</v>
      </c>
      <c r="L15" s="29"/>
      <c r="M15" s="26"/>
      <c r="N15" s="6" t="s">
        <v>29</v>
      </c>
      <c r="O15" s="6">
        <v>1</v>
      </c>
      <c r="P15" s="6" t="s">
        <v>249</v>
      </c>
    </row>
    <row r="16" spans="1:16" x14ac:dyDescent="0.25">
      <c r="A16" s="6">
        <f>'Farmer Demand'!A16</f>
        <v>14</v>
      </c>
      <c r="B16" s="6" t="str">
        <f>'Farmer Demand'!C16</f>
        <v>Anita Tekam</v>
      </c>
      <c r="C16" s="6" t="str">
        <f>'Farmer Demand'!F16</f>
        <v xml:space="preserve">Silghiti </v>
      </c>
      <c r="D16" s="6" t="str">
        <f>'Farmer Demand'!G16</f>
        <v>Jagdamba</v>
      </c>
      <c r="E16" s="6" t="s">
        <v>31</v>
      </c>
      <c r="F16" s="7"/>
      <c r="G16" s="6"/>
      <c r="H16" s="6" t="s">
        <v>29</v>
      </c>
      <c r="I16" s="6">
        <v>1</v>
      </c>
      <c r="J16" s="6" t="s">
        <v>191</v>
      </c>
      <c r="K16" s="6" t="s">
        <v>29</v>
      </c>
      <c r="L16" s="7"/>
      <c r="M16" s="6"/>
      <c r="N16" s="6" t="s">
        <v>29</v>
      </c>
      <c r="O16" s="6">
        <v>1</v>
      </c>
      <c r="P16" s="6" t="s">
        <v>249</v>
      </c>
    </row>
    <row r="17" spans="1:16" x14ac:dyDescent="0.25">
      <c r="A17" s="6">
        <f>'Farmer Demand'!A17</f>
        <v>15</v>
      </c>
      <c r="B17" s="6" t="str">
        <f>'Farmer Demand'!C17</f>
        <v xml:space="preserve">Maliya Bai </v>
      </c>
      <c r="C17" s="6" t="str">
        <f>'Farmer Demand'!F17</f>
        <v xml:space="preserve">Silghiti </v>
      </c>
      <c r="D17" s="6" t="str">
        <f>'Farmer Demand'!G17</f>
        <v>Narayani SHG</v>
      </c>
      <c r="E17" s="6" t="s">
        <v>31</v>
      </c>
      <c r="F17" s="6"/>
      <c r="G17" s="6"/>
      <c r="H17" s="6" t="s">
        <v>29</v>
      </c>
      <c r="I17" s="6">
        <v>50</v>
      </c>
      <c r="J17" s="6" t="s">
        <v>190</v>
      </c>
      <c r="K17" s="6" t="s">
        <v>31</v>
      </c>
      <c r="L17" s="7"/>
      <c r="M17" s="6"/>
      <c r="N17" s="6" t="s">
        <v>29</v>
      </c>
      <c r="O17" s="6">
        <v>1</v>
      </c>
      <c r="P17" s="6" t="s">
        <v>249</v>
      </c>
    </row>
    <row r="18" spans="1:16" x14ac:dyDescent="0.25">
      <c r="A18" s="6">
        <f>'Farmer Demand'!A18</f>
        <v>16</v>
      </c>
      <c r="B18" s="6" t="str">
        <f>'Farmer Demand'!C18</f>
        <v>Thagiya  Bai</v>
      </c>
      <c r="C18" s="6" t="str">
        <f>'Farmer Demand'!F18</f>
        <v xml:space="preserve">Silghiti </v>
      </c>
      <c r="D18" s="6" t="str">
        <f>'Farmer Demand'!G18</f>
        <v>Jwala Tejaswani</v>
      </c>
      <c r="E18" s="6" t="s">
        <v>31</v>
      </c>
      <c r="F18" s="7"/>
      <c r="G18" s="6"/>
      <c r="H18" s="6" t="s">
        <v>29</v>
      </c>
      <c r="I18" s="6">
        <v>1</v>
      </c>
      <c r="J18" s="6" t="s">
        <v>191</v>
      </c>
      <c r="K18" s="6" t="s">
        <v>31</v>
      </c>
      <c r="L18" s="7"/>
      <c r="M18" s="6"/>
      <c r="N18" s="6" t="s">
        <v>29</v>
      </c>
      <c r="O18" s="6">
        <v>1</v>
      </c>
      <c r="P18" s="6" t="s">
        <v>249</v>
      </c>
    </row>
    <row r="19" spans="1:16" x14ac:dyDescent="0.25">
      <c r="A19" s="6">
        <f>'Farmer Demand'!A19</f>
        <v>17</v>
      </c>
      <c r="B19" s="6" t="str">
        <f>'Farmer Demand'!C19</f>
        <v>Hariwati Bai</v>
      </c>
      <c r="C19" s="6" t="str">
        <f>'Farmer Demand'!F19</f>
        <v>Sakri</v>
      </c>
      <c r="D19" s="6" t="str">
        <f>'Farmer Demand'!G19</f>
        <v>Nirmala</v>
      </c>
      <c r="E19" s="6" t="s">
        <v>31</v>
      </c>
      <c r="F19" s="7"/>
      <c r="G19" s="6"/>
      <c r="H19" s="6" t="s">
        <v>29</v>
      </c>
      <c r="I19" s="6">
        <v>1</v>
      </c>
      <c r="J19" s="6" t="s">
        <v>191</v>
      </c>
      <c r="K19" s="6" t="s">
        <v>31</v>
      </c>
      <c r="L19" s="7"/>
      <c r="M19" s="6"/>
      <c r="N19" s="6" t="s">
        <v>29</v>
      </c>
      <c r="O19" s="6">
        <v>1</v>
      </c>
      <c r="P19" s="6" t="s">
        <v>249</v>
      </c>
    </row>
    <row r="20" spans="1:16" x14ac:dyDescent="0.25">
      <c r="A20" s="6">
        <f>'Farmer Demand'!A20</f>
        <v>18</v>
      </c>
      <c r="B20" s="6" t="str">
        <f>'Farmer Demand'!C20</f>
        <v>Radha Bai</v>
      </c>
      <c r="C20" s="6" t="str">
        <f>'Farmer Demand'!F20</f>
        <v>Sakri</v>
      </c>
      <c r="D20" s="6" t="str">
        <f>'Farmer Demand'!G20</f>
        <v>Nirmala</v>
      </c>
      <c r="E20" s="6" t="s">
        <v>31</v>
      </c>
      <c r="F20" s="7"/>
      <c r="G20" s="6"/>
      <c r="H20" s="6" t="s">
        <v>29</v>
      </c>
      <c r="I20" s="6">
        <v>1</v>
      </c>
      <c r="J20" s="6" t="s">
        <v>191</v>
      </c>
      <c r="K20" s="6" t="s">
        <v>31</v>
      </c>
      <c r="L20" s="7"/>
      <c r="M20" s="6"/>
      <c r="N20" s="6" t="s">
        <v>29</v>
      </c>
      <c r="O20" s="6">
        <v>1</v>
      </c>
      <c r="P20" s="6" t="s">
        <v>249</v>
      </c>
    </row>
    <row r="21" spans="1:16" x14ac:dyDescent="0.25">
      <c r="A21" s="6">
        <f>'Farmer Demand'!A21</f>
        <v>19</v>
      </c>
      <c r="B21" s="6" t="str">
        <f>'Farmer Demand'!C21</f>
        <v>Rajkumari Bai</v>
      </c>
      <c r="C21" s="6" t="str">
        <f>'Farmer Demand'!F21</f>
        <v>Sakri</v>
      </c>
      <c r="D21" s="6" t="str">
        <f>'Farmer Demand'!G21</f>
        <v>Nirmala</v>
      </c>
      <c r="E21" s="6" t="s">
        <v>31</v>
      </c>
      <c r="F21" s="7"/>
      <c r="G21" s="6"/>
      <c r="H21" s="6" t="s">
        <v>29</v>
      </c>
      <c r="I21" s="6">
        <v>1</v>
      </c>
      <c r="J21" s="6" t="s">
        <v>191</v>
      </c>
      <c r="K21" s="6" t="s">
        <v>31</v>
      </c>
      <c r="L21" s="7"/>
      <c r="M21" s="6"/>
      <c r="N21" s="6" t="s">
        <v>29</v>
      </c>
      <c r="O21" s="6">
        <v>1</v>
      </c>
      <c r="P21" s="6" t="s">
        <v>249</v>
      </c>
    </row>
    <row r="22" spans="1:16" x14ac:dyDescent="0.25">
      <c r="A22" s="6">
        <f>'Farmer Demand'!A22</f>
        <v>20</v>
      </c>
      <c r="B22" s="6" t="str">
        <f>'Farmer Demand'!C22</f>
        <v>Bhagwati</v>
      </c>
      <c r="C22" s="6" t="str">
        <f>'Farmer Demand'!F22</f>
        <v>Sakri</v>
      </c>
      <c r="D22" s="6" t="str">
        <f>'Farmer Demand'!G22</f>
        <v>Narmada</v>
      </c>
      <c r="E22" s="6" t="s">
        <v>31</v>
      </c>
      <c r="F22" s="7"/>
      <c r="G22" s="6"/>
      <c r="H22" s="6" t="s">
        <v>29</v>
      </c>
      <c r="I22" s="6">
        <v>1</v>
      </c>
      <c r="J22" s="6" t="s">
        <v>191</v>
      </c>
      <c r="K22" s="6" t="s">
        <v>31</v>
      </c>
      <c r="L22" s="7"/>
      <c r="M22" s="6"/>
      <c r="N22" s="6" t="s">
        <v>29</v>
      </c>
      <c r="O22" s="6">
        <v>1</v>
      </c>
      <c r="P22" s="6" t="s">
        <v>249</v>
      </c>
    </row>
    <row r="23" spans="1:16" x14ac:dyDescent="0.25">
      <c r="A23" s="6">
        <f>'Farmer Demand'!A23</f>
        <v>21</v>
      </c>
      <c r="B23" s="6" t="str">
        <f>'Farmer Demand'!C23</f>
        <v>Halki Bai</v>
      </c>
      <c r="C23" s="6" t="str">
        <f>'Farmer Demand'!F23</f>
        <v>Sakri</v>
      </c>
      <c r="D23" s="6" t="str">
        <f>'Farmer Demand'!G23</f>
        <v>Narmada</v>
      </c>
      <c r="E23" s="6" t="s">
        <v>31</v>
      </c>
      <c r="F23" s="7"/>
      <c r="G23" s="6"/>
      <c r="H23" s="6" t="s">
        <v>29</v>
      </c>
      <c r="I23" s="6">
        <v>1</v>
      </c>
      <c r="J23" s="6" t="s">
        <v>191</v>
      </c>
      <c r="K23" s="6" t="s">
        <v>31</v>
      </c>
      <c r="L23" s="7"/>
      <c r="M23" s="6"/>
      <c r="N23" s="6" t="s">
        <v>29</v>
      </c>
      <c r="O23" s="6">
        <v>1</v>
      </c>
      <c r="P23" s="6" t="s">
        <v>249</v>
      </c>
    </row>
    <row r="24" spans="1:16" x14ac:dyDescent="0.25">
      <c r="A24" s="6">
        <f>'Farmer Demand'!A24</f>
        <v>22</v>
      </c>
      <c r="B24" s="6" t="str">
        <f>'Farmer Demand'!C24</f>
        <v>Jeera Bai</v>
      </c>
      <c r="C24" s="6" t="str">
        <f>'Farmer Demand'!F24</f>
        <v>Sakri</v>
      </c>
      <c r="D24" s="6" t="str">
        <f>'Farmer Demand'!G24</f>
        <v>Narmada</v>
      </c>
      <c r="E24" s="6" t="s">
        <v>31</v>
      </c>
      <c r="F24" s="7"/>
      <c r="G24" s="6"/>
      <c r="H24" s="6" t="s">
        <v>29</v>
      </c>
      <c r="I24" s="6">
        <v>1</v>
      </c>
      <c r="J24" s="6" t="s">
        <v>191</v>
      </c>
      <c r="K24" s="6" t="s">
        <v>31</v>
      </c>
      <c r="L24" s="7"/>
      <c r="M24" s="6"/>
      <c r="N24" s="6" t="s">
        <v>29</v>
      </c>
      <c r="O24" s="6">
        <v>1</v>
      </c>
      <c r="P24" s="6" t="s">
        <v>249</v>
      </c>
    </row>
    <row r="25" spans="1:16" x14ac:dyDescent="0.25">
      <c r="A25" s="6">
        <f>'Farmer Demand'!A25</f>
        <v>23</v>
      </c>
      <c r="B25" s="6" t="str">
        <f>'Farmer Demand'!C25</f>
        <v>Munni Bai</v>
      </c>
      <c r="C25" s="6" t="str">
        <f>'Farmer Demand'!F25</f>
        <v>Sakri</v>
      </c>
      <c r="D25" s="6" t="str">
        <f>'Farmer Demand'!G25</f>
        <v>Narmada</v>
      </c>
      <c r="E25" s="6" t="s">
        <v>31</v>
      </c>
      <c r="F25" s="7"/>
      <c r="G25" s="6"/>
      <c r="H25" s="6" t="s">
        <v>29</v>
      </c>
      <c r="I25" s="6">
        <v>1</v>
      </c>
      <c r="J25" s="6" t="s">
        <v>191</v>
      </c>
      <c r="K25" s="6" t="s">
        <v>31</v>
      </c>
      <c r="L25" s="7"/>
      <c r="M25" s="6"/>
      <c r="N25" s="6" t="s">
        <v>29</v>
      </c>
      <c r="O25" s="6">
        <v>1</v>
      </c>
      <c r="P25" s="6" t="s">
        <v>249</v>
      </c>
    </row>
    <row r="26" spans="1:16" x14ac:dyDescent="0.25">
      <c r="A26" s="6">
        <f>'Farmer Demand'!A26</f>
        <v>24</v>
      </c>
      <c r="B26" s="6" t="str">
        <f>'Farmer Demand'!C26</f>
        <v>Phulma</v>
      </c>
      <c r="C26" s="6" t="str">
        <f>'Farmer Demand'!F26</f>
        <v>Sakri</v>
      </c>
      <c r="D26" s="6" t="str">
        <f>'Farmer Demand'!G26</f>
        <v>Narmada</v>
      </c>
      <c r="E26" s="6" t="s">
        <v>31</v>
      </c>
      <c r="F26" s="7"/>
      <c r="G26" s="6"/>
      <c r="H26" s="6" t="s">
        <v>29</v>
      </c>
      <c r="I26" s="6">
        <v>1</v>
      </c>
      <c r="J26" s="6" t="s">
        <v>191</v>
      </c>
      <c r="K26" s="6" t="s">
        <v>31</v>
      </c>
      <c r="L26" s="7"/>
      <c r="M26" s="6"/>
      <c r="N26" s="6" t="s">
        <v>29</v>
      </c>
      <c r="O26" s="6">
        <v>1</v>
      </c>
      <c r="P26" s="6" t="s">
        <v>249</v>
      </c>
    </row>
    <row r="27" spans="1:16" x14ac:dyDescent="0.25">
      <c r="A27" s="6">
        <f>'Farmer Demand'!A27</f>
        <v>25</v>
      </c>
      <c r="B27" s="6" t="str">
        <f>'Farmer Demand'!C27</f>
        <v>Runiya Bai</v>
      </c>
      <c r="C27" s="6" t="str">
        <f>'Farmer Demand'!F27</f>
        <v>Sakri</v>
      </c>
      <c r="D27" s="6" t="str">
        <f>'Farmer Demand'!G27</f>
        <v>Narmada</v>
      </c>
      <c r="E27" s="6" t="s">
        <v>31</v>
      </c>
      <c r="F27" s="7"/>
      <c r="G27" s="6"/>
      <c r="H27" s="6" t="s">
        <v>29</v>
      </c>
      <c r="I27" s="6">
        <v>1</v>
      </c>
      <c r="J27" s="6" t="s">
        <v>191</v>
      </c>
      <c r="K27" s="6" t="s">
        <v>31</v>
      </c>
      <c r="L27" s="7"/>
      <c r="M27" s="6"/>
      <c r="N27" s="6" t="s">
        <v>29</v>
      </c>
      <c r="O27" s="6">
        <v>1</v>
      </c>
      <c r="P27" s="6" t="s">
        <v>249</v>
      </c>
    </row>
    <row r="28" spans="1:16" x14ac:dyDescent="0.25">
      <c r="A28" s="6">
        <f>'Farmer Demand'!A28</f>
        <v>26</v>
      </c>
      <c r="B28" s="6" t="str">
        <f>'Farmer Demand'!C28</f>
        <v>Rupi Bai</v>
      </c>
      <c r="C28" s="6" t="str">
        <f>'Farmer Demand'!F28</f>
        <v>Sakri</v>
      </c>
      <c r="D28" s="6" t="str">
        <f>'Farmer Demand'!G28</f>
        <v>Narmada</v>
      </c>
      <c r="E28" s="6" t="s">
        <v>31</v>
      </c>
      <c r="F28" s="7"/>
      <c r="G28" s="6"/>
      <c r="H28" s="6" t="s">
        <v>29</v>
      </c>
      <c r="I28" s="6">
        <v>1</v>
      </c>
      <c r="J28" s="6" t="s">
        <v>191</v>
      </c>
      <c r="K28" s="6" t="s">
        <v>31</v>
      </c>
      <c r="L28" s="7"/>
      <c r="M28" s="6"/>
      <c r="N28" s="6" t="s">
        <v>29</v>
      </c>
      <c r="O28" s="6">
        <v>1</v>
      </c>
      <c r="P28" s="6" t="s">
        <v>249</v>
      </c>
    </row>
    <row r="29" spans="1:16" x14ac:dyDescent="0.25">
      <c r="A29" s="6">
        <f>'Farmer Demand'!A29</f>
        <v>27</v>
      </c>
      <c r="B29" s="6" t="str">
        <f>'Farmer Demand'!C29</f>
        <v>Saraswati Bai</v>
      </c>
      <c r="C29" s="6" t="str">
        <f>'Farmer Demand'!F29</f>
        <v>Sakri</v>
      </c>
      <c r="D29" s="6" t="str">
        <f>'Farmer Demand'!G29</f>
        <v>Narmada</v>
      </c>
      <c r="E29" s="6" t="s">
        <v>31</v>
      </c>
      <c r="F29" s="7"/>
      <c r="G29" s="6"/>
      <c r="H29" s="6" t="s">
        <v>29</v>
      </c>
      <c r="I29" s="6">
        <v>1</v>
      </c>
      <c r="J29" s="6" t="s">
        <v>191</v>
      </c>
      <c r="K29" s="6" t="s">
        <v>31</v>
      </c>
      <c r="L29" s="7"/>
      <c r="M29" s="6"/>
      <c r="N29" s="6" t="s">
        <v>29</v>
      </c>
      <c r="O29" s="6">
        <v>1</v>
      </c>
      <c r="P29" s="6" t="s">
        <v>249</v>
      </c>
    </row>
    <row r="30" spans="1:16" x14ac:dyDescent="0.25">
      <c r="A30" s="6">
        <f>'Farmer Demand'!A30</f>
        <v>28</v>
      </c>
      <c r="B30" s="6" t="str">
        <f>'Farmer Demand'!C30</f>
        <v>Saraswati Bai</v>
      </c>
      <c r="C30" s="6" t="str">
        <f>'Farmer Demand'!F30</f>
        <v>Sakri</v>
      </c>
      <c r="D30" s="6" t="str">
        <f>'Farmer Demand'!G30</f>
        <v>Narmada</v>
      </c>
      <c r="E30" s="6" t="s">
        <v>31</v>
      </c>
      <c r="F30" s="7"/>
      <c r="G30" s="6"/>
      <c r="H30" s="6" t="s">
        <v>29</v>
      </c>
      <c r="I30" s="6">
        <v>1</v>
      </c>
      <c r="J30" s="6" t="s">
        <v>191</v>
      </c>
      <c r="K30" s="6" t="s">
        <v>31</v>
      </c>
      <c r="L30" s="7"/>
      <c r="M30" s="6"/>
      <c r="N30" s="6" t="s">
        <v>29</v>
      </c>
      <c r="O30" s="6">
        <v>1</v>
      </c>
      <c r="P30" s="6" t="s">
        <v>249</v>
      </c>
    </row>
    <row r="31" spans="1:16" x14ac:dyDescent="0.25">
      <c r="A31" s="6">
        <f>'Farmer Demand'!A31</f>
        <v>29</v>
      </c>
      <c r="B31" s="6" t="str">
        <f>'Farmer Demand'!C31</f>
        <v>Saraswati Bai</v>
      </c>
      <c r="C31" s="6" t="str">
        <f>'Farmer Demand'!F31</f>
        <v>Sakri</v>
      </c>
      <c r="D31" s="6" t="str">
        <f>'Farmer Demand'!G31</f>
        <v>Narmada</v>
      </c>
      <c r="E31" s="6" t="s">
        <v>31</v>
      </c>
      <c r="F31" s="7"/>
      <c r="G31" s="6"/>
      <c r="H31" s="6" t="s">
        <v>29</v>
      </c>
      <c r="I31" s="6">
        <v>1</v>
      </c>
      <c r="J31" s="6" t="s">
        <v>191</v>
      </c>
      <c r="K31" s="6" t="s">
        <v>31</v>
      </c>
      <c r="L31" s="7"/>
      <c r="M31" s="6"/>
      <c r="N31" s="6" t="s">
        <v>29</v>
      </c>
      <c r="O31" s="6">
        <v>1</v>
      </c>
      <c r="P31" s="6" t="s">
        <v>249</v>
      </c>
    </row>
    <row r="32" spans="1:16" x14ac:dyDescent="0.25">
      <c r="A32" s="6">
        <f>'Farmer Demand'!A32</f>
        <v>30</v>
      </c>
      <c r="B32" s="6" t="str">
        <f>'Farmer Demand'!C32</f>
        <v>Saroj Bai</v>
      </c>
      <c r="C32" s="6" t="str">
        <f>'Farmer Demand'!F32</f>
        <v>Sakri</v>
      </c>
      <c r="D32" s="6" t="str">
        <f>'Farmer Demand'!G32</f>
        <v>Narmada</v>
      </c>
      <c r="E32" s="6" t="s">
        <v>31</v>
      </c>
      <c r="F32" s="7"/>
      <c r="G32" s="6"/>
      <c r="H32" s="6" t="s">
        <v>29</v>
      </c>
      <c r="I32" s="6">
        <v>1</v>
      </c>
      <c r="J32" s="6" t="s">
        <v>191</v>
      </c>
      <c r="K32" s="6" t="s">
        <v>31</v>
      </c>
      <c r="L32" s="7"/>
      <c r="M32" s="6"/>
      <c r="N32" s="6" t="s">
        <v>29</v>
      </c>
      <c r="O32" s="6">
        <v>1</v>
      </c>
      <c r="P32" s="6" t="s">
        <v>249</v>
      </c>
    </row>
    <row r="33" spans="1:16" x14ac:dyDescent="0.25">
      <c r="A33" s="6">
        <f>'Farmer Demand'!A33</f>
        <v>31</v>
      </c>
      <c r="B33" s="6" t="str">
        <f>'Farmer Demand'!C33</f>
        <v>Sushila Bai</v>
      </c>
      <c r="C33" s="6" t="str">
        <f>'Farmer Demand'!F33</f>
        <v>Sakri</v>
      </c>
      <c r="D33" s="6" t="str">
        <f>'Farmer Demand'!G33</f>
        <v>Narmada</v>
      </c>
      <c r="E33" s="6" t="s">
        <v>31</v>
      </c>
      <c r="F33" s="7"/>
      <c r="G33" s="6"/>
      <c r="H33" s="6" t="s">
        <v>29</v>
      </c>
      <c r="I33" s="6">
        <v>1</v>
      </c>
      <c r="J33" s="6" t="s">
        <v>191</v>
      </c>
      <c r="K33" s="6" t="s">
        <v>31</v>
      </c>
      <c r="L33" s="7"/>
      <c r="M33" s="6"/>
      <c r="N33" s="6" t="s">
        <v>29</v>
      </c>
      <c r="O33" s="6">
        <v>1</v>
      </c>
      <c r="P33" s="6" t="s">
        <v>249</v>
      </c>
    </row>
    <row r="34" spans="1:16" x14ac:dyDescent="0.25">
      <c r="A34" s="6">
        <f>'Farmer Demand'!A34</f>
        <v>32</v>
      </c>
      <c r="B34" s="6" t="str">
        <f>'Farmer Demand'!C34</f>
        <v>Bajjo Bai</v>
      </c>
      <c r="C34" s="6" t="str">
        <f>'Farmer Demand'!F34</f>
        <v>Sakri</v>
      </c>
      <c r="D34" s="6" t="str">
        <f>'Farmer Demand'!G34</f>
        <v>Kiran</v>
      </c>
      <c r="E34" s="6" t="s">
        <v>31</v>
      </c>
      <c r="F34" s="7"/>
      <c r="G34" s="6"/>
      <c r="H34" s="6" t="s">
        <v>29</v>
      </c>
      <c r="I34" s="6">
        <v>1</v>
      </c>
      <c r="J34" s="6" t="s">
        <v>191</v>
      </c>
      <c r="K34" s="6" t="s">
        <v>31</v>
      </c>
      <c r="L34" s="7"/>
      <c r="M34" s="6"/>
      <c r="N34" s="6" t="s">
        <v>29</v>
      </c>
      <c r="O34" s="6">
        <v>1</v>
      </c>
      <c r="P34" s="6" t="s">
        <v>249</v>
      </c>
    </row>
    <row r="35" spans="1:16" x14ac:dyDescent="0.25">
      <c r="A35" s="6">
        <f>'Farmer Demand'!A35</f>
        <v>33</v>
      </c>
      <c r="B35" s="6" t="str">
        <f>'Farmer Demand'!C35</f>
        <v>Daro Bai</v>
      </c>
      <c r="C35" s="6" t="str">
        <f>'Farmer Demand'!F35</f>
        <v>Sakri</v>
      </c>
      <c r="D35" s="6" t="str">
        <f>'Farmer Demand'!G35</f>
        <v>Kiran</v>
      </c>
      <c r="E35" s="6" t="s">
        <v>31</v>
      </c>
      <c r="F35" s="7"/>
      <c r="G35" s="6"/>
      <c r="H35" s="6" t="s">
        <v>29</v>
      </c>
      <c r="I35" s="6">
        <v>1</v>
      </c>
      <c r="J35" s="6" t="s">
        <v>191</v>
      </c>
      <c r="K35" s="6" t="s">
        <v>31</v>
      </c>
      <c r="L35" s="7"/>
      <c r="M35" s="6"/>
      <c r="N35" s="6" t="s">
        <v>29</v>
      </c>
      <c r="O35" s="6">
        <v>1</v>
      </c>
      <c r="P35" s="6" t="s">
        <v>249</v>
      </c>
    </row>
    <row r="36" spans="1:16" x14ac:dyDescent="0.25">
      <c r="A36" s="6">
        <f>'Farmer Demand'!A36</f>
        <v>34</v>
      </c>
      <c r="B36" s="6" t="str">
        <f>'Farmer Demand'!C36</f>
        <v>Foondri</v>
      </c>
      <c r="C36" s="6" t="str">
        <f>'Farmer Demand'!F36</f>
        <v>Sakri</v>
      </c>
      <c r="D36" s="6" t="str">
        <f>'Farmer Demand'!G36</f>
        <v>Kiran</v>
      </c>
      <c r="E36" s="6" t="s">
        <v>31</v>
      </c>
      <c r="F36" s="7"/>
      <c r="G36" s="6"/>
      <c r="H36" s="6" t="s">
        <v>29</v>
      </c>
      <c r="I36" s="6">
        <v>1</v>
      </c>
      <c r="J36" s="6" t="s">
        <v>191</v>
      </c>
      <c r="K36" s="6" t="s">
        <v>31</v>
      </c>
      <c r="L36" s="7"/>
      <c r="M36" s="6"/>
      <c r="N36" s="6" t="s">
        <v>29</v>
      </c>
      <c r="O36" s="6">
        <v>1</v>
      </c>
      <c r="P36" s="6" t="s">
        <v>249</v>
      </c>
    </row>
    <row r="37" spans="1:16" x14ac:dyDescent="0.25">
      <c r="A37" s="6">
        <f>'Farmer Demand'!A37</f>
        <v>35</v>
      </c>
      <c r="B37" s="6" t="str">
        <f>'Farmer Demand'!C37</f>
        <v>Halki</v>
      </c>
      <c r="C37" s="6" t="str">
        <f>'Farmer Demand'!F37</f>
        <v>Sakri</v>
      </c>
      <c r="D37" s="6" t="str">
        <f>'Farmer Demand'!G37</f>
        <v>Kiran</v>
      </c>
      <c r="E37" s="6" t="s">
        <v>31</v>
      </c>
      <c r="F37" s="7"/>
      <c r="G37" s="6"/>
      <c r="H37" s="6" t="s">
        <v>29</v>
      </c>
      <c r="I37" s="6">
        <v>1</v>
      </c>
      <c r="J37" s="6" t="s">
        <v>191</v>
      </c>
      <c r="K37" s="6" t="s">
        <v>31</v>
      </c>
      <c r="L37" s="7"/>
      <c r="M37" s="6"/>
      <c r="N37" s="6" t="s">
        <v>29</v>
      </c>
      <c r="O37" s="6">
        <v>1</v>
      </c>
      <c r="P37" s="6" t="s">
        <v>249</v>
      </c>
    </row>
    <row r="38" spans="1:16" x14ac:dyDescent="0.25">
      <c r="A38" s="6">
        <f>'Farmer Demand'!A38</f>
        <v>36</v>
      </c>
      <c r="B38" s="6" t="str">
        <f>'Farmer Demand'!C38</f>
        <v>Meera Bai</v>
      </c>
      <c r="C38" s="6" t="str">
        <f>'Farmer Demand'!F38</f>
        <v>Sakri</v>
      </c>
      <c r="D38" s="6" t="str">
        <f>'Farmer Demand'!G38</f>
        <v>Kiran</v>
      </c>
      <c r="E38" s="6" t="s">
        <v>31</v>
      </c>
      <c r="F38" s="7"/>
      <c r="G38" s="6"/>
      <c r="H38" s="6" t="s">
        <v>29</v>
      </c>
      <c r="I38" s="6">
        <v>1</v>
      </c>
      <c r="J38" s="6" t="s">
        <v>191</v>
      </c>
      <c r="K38" s="6" t="s">
        <v>31</v>
      </c>
      <c r="L38" s="7"/>
      <c r="M38" s="6"/>
      <c r="N38" s="6" t="s">
        <v>29</v>
      </c>
      <c r="O38" s="6">
        <v>1</v>
      </c>
      <c r="P38" s="6" t="s">
        <v>249</v>
      </c>
    </row>
    <row r="39" spans="1:16" x14ac:dyDescent="0.25">
      <c r="A39" s="6">
        <f>'Farmer Demand'!A39</f>
        <v>37</v>
      </c>
      <c r="B39" s="6" t="str">
        <f>'Farmer Demand'!C39</f>
        <v>Nidhi Bhawedi</v>
      </c>
      <c r="C39" s="6" t="str">
        <f>'Farmer Demand'!F39</f>
        <v>Sakri</v>
      </c>
      <c r="D39" s="6" t="str">
        <f>'Farmer Demand'!G39</f>
        <v>Kiran</v>
      </c>
      <c r="E39" s="6" t="s">
        <v>31</v>
      </c>
      <c r="F39" s="7"/>
      <c r="G39" s="6"/>
      <c r="H39" s="6" t="s">
        <v>29</v>
      </c>
      <c r="I39" s="6">
        <v>1</v>
      </c>
      <c r="J39" s="6" t="s">
        <v>191</v>
      </c>
      <c r="K39" s="6" t="s">
        <v>31</v>
      </c>
      <c r="L39" s="7"/>
      <c r="M39" s="6"/>
      <c r="N39" s="6" t="s">
        <v>29</v>
      </c>
      <c r="O39" s="6">
        <v>1</v>
      </c>
      <c r="P39" s="6" t="s">
        <v>249</v>
      </c>
    </row>
    <row r="40" spans="1:16" x14ac:dyDescent="0.25">
      <c r="A40" s="6">
        <f>'Farmer Demand'!A40</f>
        <v>38</v>
      </c>
      <c r="B40" s="6" t="str">
        <f>'Farmer Demand'!C40</f>
        <v>Puniya Bai</v>
      </c>
      <c r="C40" s="6" t="str">
        <f>'Farmer Demand'!F40</f>
        <v>Sakri</v>
      </c>
      <c r="D40" s="6" t="str">
        <f>'Farmer Demand'!G40</f>
        <v>Kiran</v>
      </c>
      <c r="E40" s="6" t="s">
        <v>31</v>
      </c>
      <c r="F40" s="7"/>
      <c r="G40" s="6"/>
      <c r="H40" s="6" t="s">
        <v>29</v>
      </c>
      <c r="I40" s="6">
        <v>1</v>
      </c>
      <c r="J40" s="6" t="s">
        <v>191</v>
      </c>
      <c r="K40" s="6" t="s">
        <v>31</v>
      </c>
      <c r="L40" s="7"/>
      <c r="M40" s="6"/>
      <c r="N40" s="6" t="s">
        <v>29</v>
      </c>
      <c r="O40" s="6">
        <v>1</v>
      </c>
      <c r="P40" s="6" t="s">
        <v>249</v>
      </c>
    </row>
    <row r="41" spans="1:16" x14ac:dyDescent="0.25">
      <c r="A41" s="6">
        <f>'Farmer Demand'!A41</f>
        <v>39</v>
      </c>
      <c r="B41" s="6" t="str">
        <f>'Farmer Demand'!C41</f>
        <v>Rupwati</v>
      </c>
      <c r="C41" s="6" t="str">
        <f>'Farmer Demand'!F41</f>
        <v>Sakri</v>
      </c>
      <c r="D41" s="6" t="str">
        <f>'Farmer Demand'!G41</f>
        <v>Kiran</v>
      </c>
      <c r="E41" s="6" t="s">
        <v>31</v>
      </c>
      <c r="F41" s="7"/>
      <c r="G41" s="6"/>
      <c r="H41" s="6" t="s">
        <v>29</v>
      </c>
      <c r="I41" s="6">
        <v>1</v>
      </c>
      <c r="J41" s="6" t="s">
        <v>191</v>
      </c>
      <c r="K41" s="6" t="s">
        <v>31</v>
      </c>
      <c r="L41" s="7"/>
      <c r="M41" s="6"/>
      <c r="N41" s="6" t="s">
        <v>29</v>
      </c>
      <c r="O41" s="6">
        <v>1</v>
      </c>
      <c r="P41" s="6" t="s">
        <v>249</v>
      </c>
    </row>
    <row r="42" spans="1:16" x14ac:dyDescent="0.25">
      <c r="A42" s="6">
        <f>'Farmer Demand'!A42</f>
        <v>40</v>
      </c>
      <c r="B42" s="6" t="str">
        <f>'Farmer Demand'!C42</f>
        <v>Sharda Bai</v>
      </c>
      <c r="C42" s="6" t="str">
        <f>'Farmer Demand'!F42</f>
        <v>Sakri</v>
      </c>
      <c r="D42" s="6" t="str">
        <f>'Farmer Demand'!G42</f>
        <v>Kiran</v>
      </c>
      <c r="E42" s="6" t="s">
        <v>31</v>
      </c>
      <c r="F42" s="7"/>
      <c r="G42" s="6"/>
      <c r="H42" s="6" t="s">
        <v>29</v>
      </c>
      <c r="I42" s="6">
        <v>1</v>
      </c>
      <c r="J42" s="6" t="s">
        <v>191</v>
      </c>
      <c r="K42" s="6" t="s">
        <v>31</v>
      </c>
      <c r="L42" s="7"/>
      <c r="M42" s="6"/>
      <c r="N42" s="6" t="s">
        <v>29</v>
      </c>
      <c r="O42" s="6">
        <v>1</v>
      </c>
      <c r="P42" s="6" t="s">
        <v>249</v>
      </c>
    </row>
    <row r="43" spans="1:16" x14ac:dyDescent="0.25">
      <c r="A43" s="6">
        <f>'Farmer Demand'!A43</f>
        <v>41</v>
      </c>
      <c r="B43" s="6" t="str">
        <f>'Farmer Demand'!C43</f>
        <v>Shyam Kumari</v>
      </c>
      <c r="C43" s="6" t="str">
        <f>'Farmer Demand'!F43</f>
        <v>Sakri</v>
      </c>
      <c r="D43" s="6" t="str">
        <f>'Farmer Demand'!G43</f>
        <v>Kiran</v>
      </c>
      <c r="E43" s="6" t="s">
        <v>31</v>
      </c>
      <c r="F43" s="7"/>
      <c r="G43" s="6"/>
      <c r="H43" s="6" t="s">
        <v>29</v>
      </c>
      <c r="I43" s="6">
        <v>1</v>
      </c>
      <c r="J43" s="6" t="s">
        <v>191</v>
      </c>
      <c r="K43" s="6" t="s">
        <v>31</v>
      </c>
      <c r="L43" s="7"/>
      <c r="M43" s="6"/>
      <c r="N43" s="6" t="s">
        <v>29</v>
      </c>
      <c r="O43" s="6">
        <v>1</v>
      </c>
      <c r="P43" s="6" t="s">
        <v>249</v>
      </c>
    </row>
    <row r="44" spans="1:16" x14ac:dyDescent="0.25">
      <c r="A44" s="6">
        <f>'Farmer Demand'!A44</f>
        <v>42</v>
      </c>
      <c r="B44" s="6" t="str">
        <f>'Farmer Demand'!C44</f>
        <v>Sutti Bai</v>
      </c>
      <c r="C44" s="6" t="str">
        <f>'Farmer Demand'!F44</f>
        <v>Sakri</v>
      </c>
      <c r="D44" s="6" t="str">
        <f>'Farmer Demand'!G44</f>
        <v>Kiran</v>
      </c>
      <c r="E44" s="6" t="s">
        <v>31</v>
      </c>
      <c r="F44" s="7"/>
      <c r="G44" s="6"/>
      <c r="H44" s="6" t="s">
        <v>29</v>
      </c>
      <c r="I44" s="6">
        <v>1</v>
      </c>
      <c r="J44" s="6" t="s">
        <v>191</v>
      </c>
      <c r="K44" s="6" t="s">
        <v>31</v>
      </c>
      <c r="L44" s="7"/>
      <c r="M44" s="6"/>
      <c r="N44" s="6" t="s">
        <v>29</v>
      </c>
      <c r="O44" s="6">
        <v>1</v>
      </c>
      <c r="P44" s="6" t="s">
        <v>249</v>
      </c>
    </row>
    <row r="45" spans="1:16" x14ac:dyDescent="0.25">
      <c r="A45" s="6">
        <f>'Farmer Demand'!A45</f>
        <v>43</v>
      </c>
      <c r="B45" s="6" t="str">
        <f>'Farmer Demand'!C45</f>
        <v>Titri Bai</v>
      </c>
      <c r="C45" s="6" t="str">
        <f>'Farmer Demand'!F45</f>
        <v>Sakri</v>
      </c>
      <c r="D45" s="6" t="str">
        <f>'Farmer Demand'!G45</f>
        <v>Kiran</v>
      </c>
      <c r="E45" s="6" t="s">
        <v>31</v>
      </c>
      <c r="F45" s="7"/>
      <c r="G45" s="6"/>
      <c r="H45" s="6" t="s">
        <v>29</v>
      </c>
      <c r="I45" s="6">
        <v>1</v>
      </c>
      <c r="J45" s="6" t="s">
        <v>191</v>
      </c>
      <c r="K45" s="6" t="s">
        <v>31</v>
      </c>
      <c r="L45" s="7"/>
      <c r="M45" s="6"/>
      <c r="N45" s="6" t="s">
        <v>29</v>
      </c>
      <c r="O45" s="6">
        <v>1</v>
      </c>
      <c r="P45" s="6" t="s">
        <v>249</v>
      </c>
    </row>
    <row r="46" spans="1:16" x14ac:dyDescent="0.25">
      <c r="A46" s="6">
        <f>'Farmer Demand'!A46</f>
        <v>44</v>
      </c>
      <c r="B46" s="6" t="str">
        <f>'Farmer Demand'!C46</f>
        <v>Mindal Bai</v>
      </c>
      <c r="C46" s="6" t="str">
        <f>'Farmer Demand'!F46</f>
        <v>Sakri</v>
      </c>
      <c r="D46" s="6" t="str">
        <f>'Farmer Demand'!G46</f>
        <v>Safed Palash</v>
      </c>
      <c r="E46" s="6" t="s">
        <v>31</v>
      </c>
      <c r="F46" s="7"/>
      <c r="G46" s="6"/>
      <c r="H46" s="6" t="s">
        <v>29</v>
      </c>
      <c r="I46" s="6">
        <v>1</v>
      </c>
      <c r="J46" s="6" t="s">
        <v>191</v>
      </c>
      <c r="K46" s="6" t="s">
        <v>31</v>
      </c>
      <c r="L46" s="7"/>
      <c r="M46" s="6"/>
      <c r="N46" s="6" t="s">
        <v>29</v>
      </c>
      <c r="O46" s="6">
        <v>1</v>
      </c>
      <c r="P46" s="6" t="s">
        <v>249</v>
      </c>
    </row>
    <row r="47" spans="1:16" x14ac:dyDescent="0.25">
      <c r="A47" s="6">
        <f>'Farmer Demand'!A47</f>
        <v>45</v>
      </c>
      <c r="B47" s="6" t="str">
        <f>'Farmer Demand'!C47</f>
        <v>Sammal Bai</v>
      </c>
      <c r="C47" s="6" t="str">
        <f>'Farmer Demand'!F47</f>
        <v>Sakri</v>
      </c>
      <c r="D47" s="6" t="str">
        <f>'Farmer Demand'!G47</f>
        <v>Safed Palash</v>
      </c>
      <c r="E47" s="6" t="s">
        <v>31</v>
      </c>
      <c r="F47" s="7"/>
      <c r="G47" s="6"/>
      <c r="H47" s="6" t="s">
        <v>29</v>
      </c>
      <c r="I47" s="6">
        <v>1</v>
      </c>
      <c r="J47" s="6" t="s">
        <v>191</v>
      </c>
      <c r="K47" s="6" t="s">
        <v>31</v>
      </c>
      <c r="L47" s="7"/>
      <c r="M47" s="6"/>
      <c r="N47" s="6" t="s">
        <v>29</v>
      </c>
      <c r="O47" s="6">
        <v>1</v>
      </c>
      <c r="P47" s="6" t="s">
        <v>249</v>
      </c>
    </row>
    <row r="48" spans="1:16" x14ac:dyDescent="0.25">
      <c r="A48" s="6">
        <f>'Farmer Demand'!A48</f>
        <v>46</v>
      </c>
      <c r="B48" s="6" t="str">
        <f>'Farmer Demand'!C48</f>
        <v>Anita Bai</v>
      </c>
      <c r="C48" s="6" t="str">
        <f>'Farmer Demand'!F48</f>
        <v>Dupta</v>
      </c>
      <c r="D48" s="6" t="str">
        <f>'Farmer Demand'!G48</f>
        <v>Maa Narmada</v>
      </c>
      <c r="E48" s="6" t="s">
        <v>31</v>
      </c>
      <c r="F48" s="7"/>
      <c r="G48" s="6"/>
      <c r="H48" s="6" t="s">
        <v>29</v>
      </c>
      <c r="I48" s="6">
        <v>1</v>
      </c>
      <c r="J48" s="6" t="s">
        <v>191</v>
      </c>
      <c r="K48" s="6" t="s">
        <v>31</v>
      </c>
      <c r="L48" s="7"/>
      <c r="M48" s="6"/>
      <c r="N48" s="6" t="s">
        <v>29</v>
      </c>
      <c r="O48" s="6">
        <v>1</v>
      </c>
      <c r="P48" s="6" t="s">
        <v>249</v>
      </c>
    </row>
    <row r="49" spans="1:16" x14ac:dyDescent="0.25">
      <c r="A49" s="6">
        <f>'Farmer Demand'!A49</f>
        <v>47</v>
      </c>
      <c r="B49" s="6" t="str">
        <f>'Farmer Demand'!C49</f>
        <v>Anjana</v>
      </c>
      <c r="C49" s="6" t="str">
        <f>'Farmer Demand'!F49</f>
        <v>Dupta</v>
      </c>
      <c r="D49" s="6" t="str">
        <f>'Farmer Demand'!G49</f>
        <v>Maa Narmada</v>
      </c>
      <c r="E49" s="6" t="s">
        <v>31</v>
      </c>
      <c r="F49" s="7"/>
      <c r="G49" s="6"/>
      <c r="H49" s="6" t="s">
        <v>29</v>
      </c>
      <c r="I49" s="6">
        <v>1</v>
      </c>
      <c r="J49" s="6" t="s">
        <v>191</v>
      </c>
      <c r="K49" s="6" t="s">
        <v>31</v>
      </c>
      <c r="L49" s="7"/>
      <c r="M49" s="6"/>
      <c r="N49" s="6" t="s">
        <v>29</v>
      </c>
      <c r="O49" s="6">
        <v>1</v>
      </c>
      <c r="P49" s="6" t="s">
        <v>249</v>
      </c>
    </row>
    <row r="50" spans="1:16" x14ac:dyDescent="0.25">
      <c r="A50" s="6">
        <f>'Farmer Demand'!A50</f>
        <v>48</v>
      </c>
      <c r="B50" s="6" t="str">
        <f>'Farmer Demand'!C50</f>
        <v>Basanti Bai</v>
      </c>
      <c r="C50" s="6" t="str">
        <f>'Farmer Demand'!F50</f>
        <v>Dupta</v>
      </c>
      <c r="D50" s="6" t="str">
        <f>'Farmer Demand'!G50</f>
        <v>Maa Narmada</v>
      </c>
      <c r="E50" s="6" t="s">
        <v>31</v>
      </c>
      <c r="F50" s="7"/>
      <c r="G50" s="6"/>
      <c r="H50" s="6" t="s">
        <v>29</v>
      </c>
      <c r="I50" s="6">
        <v>1</v>
      </c>
      <c r="J50" s="6" t="s">
        <v>191</v>
      </c>
      <c r="K50" s="6" t="s">
        <v>31</v>
      </c>
      <c r="L50" s="7"/>
      <c r="M50" s="6"/>
      <c r="N50" s="6" t="s">
        <v>29</v>
      </c>
      <c r="O50" s="6">
        <v>1</v>
      </c>
      <c r="P50" s="6" t="s">
        <v>249</v>
      </c>
    </row>
    <row r="51" spans="1:16" x14ac:dyDescent="0.25">
      <c r="A51" s="6">
        <f>'Farmer Demand'!A51</f>
        <v>49</v>
      </c>
      <c r="B51" s="6" t="str">
        <f>'Farmer Demand'!C51</f>
        <v>Bhagoti Bai</v>
      </c>
      <c r="C51" s="6" t="str">
        <f>'Farmer Demand'!F51</f>
        <v>Dupta</v>
      </c>
      <c r="D51" s="6" t="str">
        <f>'Farmer Demand'!G51</f>
        <v>Maa Narmada</v>
      </c>
      <c r="E51" s="6" t="s">
        <v>31</v>
      </c>
      <c r="F51" s="7"/>
      <c r="G51" s="6"/>
      <c r="H51" s="6" t="s">
        <v>29</v>
      </c>
      <c r="I51" s="6">
        <v>1</v>
      </c>
      <c r="J51" s="6" t="s">
        <v>191</v>
      </c>
      <c r="K51" s="6" t="s">
        <v>31</v>
      </c>
      <c r="L51" s="7"/>
      <c r="M51" s="6"/>
      <c r="N51" s="6" t="s">
        <v>29</v>
      </c>
      <c r="O51" s="6">
        <v>1</v>
      </c>
      <c r="P51" s="6" t="s">
        <v>249</v>
      </c>
    </row>
    <row r="52" spans="1:16" x14ac:dyDescent="0.25">
      <c r="A52" s="6">
        <f>'Farmer Demand'!A52</f>
        <v>50</v>
      </c>
      <c r="B52" s="6" t="str">
        <f>'Farmer Demand'!C52</f>
        <v>Devki Bai</v>
      </c>
      <c r="C52" s="6" t="str">
        <f>'Farmer Demand'!F52</f>
        <v>Dupta</v>
      </c>
      <c r="D52" s="6" t="str">
        <f>'Farmer Demand'!G52</f>
        <v>Maa Narmada</v>
      </c>
      <c r="E52" s="6" t="s">
        <v>31</v>
      </c>
      <c r="F52" s="7"/>
      <c r="G52" s="6"/>
      <c r="H52" s="6" t="s">
        <v>29</v>
      </c>
      <c r="I52" s="6">
        <v>1</v>
      </c>
      <c r="J52" s="6" t="s">
        <v>191</v>
      </c>
      <c r="K52" s="6" t="s">
        <v>31</v>
      </c>
      <c r="L52" s="7"/>
      <c r="M52" s="6"/>
      <c r="N52" s="6" t="s">
        <v>29</v>
      </c>
      <c r="O52" s="6">
        <v>1</v>
      </c>
      <c r="P52" s="6" t="s">
        <v>249</v>
      </c>
    </row>
    <row r="53" spans="1:16" x14ac:dyDescent="0.25">
      <c r="A53" s="6">
        <f>'Farmer Demand'!A53</f>
        <v>51</v>
      </c>
      <c r="B53" s="6" t="str">
        <f>'Farmer Demand'!C53</f>
        <v>Indarwati bai</v>
      </c>
      <c r="C53" s="6" t="str">
        <f>'Farmer Demand'!F53</f>
        <v>Dupta</v>
      </c>
      <c r="D53" s="6" t="str">
        <f>'Farmer Demand'!G53</f>
        <v>Maa Narmada</v>
      </c>
      <c r="E53" s="6" t="s">
        <v>31</v>
      </c>
      <c r="F53" s="7"/>
      <c r="G53" s="6"/>
      <c r="H53" s="6" t="s">
        <v>29</v>
      </c>
      <c r="I53" s="6">
        <v>1</v>
      </c>
      <c r="J53" s="6" t="s">
        <v>191</v>
      </c>
      <c r="K53" s="6" t="s">
        <v>31</v>
      </c>
      <c r="L53" s="7"/>
      <c r="M53" s="6"/>
      <c r="N53" s="6" t="s">
        <v>29</v>
      </c>
      <c r="O53" s="6">
        <v>1</v>
      </c>
      <c r="P53" s="6" t="s">
        <v>249</v>
      </c>
    </row>
    <row r="54" spans="1:16" x14ac:dyDescent="0.25">
      <c r="A54" s="6">
        <f>'Farmer Demand'!A54</f>
        <v>52</v>
      </c>
      <c r="B54" s="6" t="str">
        <f>'Farmer Demand'!C54</f>
        <v>Laxmi Dhurwey</v>
      </c>
      <c r="C54" s="6" t="str">
        <f>'Farmer Demand'!F54</f>
        <v>Dupta</v>
      </c>
      <c r="D54" s="6" t="str">
        <f>'Farmer Demand'!G54</f>
        <v>Maa Narmada</v>
      </c>
      <c r="E54" s="6" t="s">
        <v>31</v>
      </c>
      <c r="F54" s="7"/>
      <c r="G54" s="6"/>
      <c r="H54" s="6" t="s">
        <v>29</v>
      </c>
      <c r="I54" s="6">
        <v>1</v>
      </c>
      <c r="J54" s="6" t="s">
        <v>191</v>
      </c>
      <c r="K54" s="6" t="s">
        <v>31</v>
      </c>
      <c r="L54" s="7"/>
      <c r="M54" s="6"/>
      <c r="N54" s="6" t="s">
        <v>29</v>
      </c>
      <c r="O54" s="6">
        <v>1</v>
      </c>
      <c r="P54" s="6" t="s">
        <v>249</v>
      </c>
    </row>
    <row r="55" spans="1:16" x14ac:dyDescent="0.25">
      <c r="A55" s="6">
        <f>'Farmer Demand'!A55</f>
        <v>53</v>
      </c>
      <c r="B55" s="6" t="str">
        <f>'Farmer Demand'!C55</f>
        <v>Muliya Bai</v>
      </c>
      <c r="C55" s="6" t="str">
        <f>'Farmer Demand'!F55</f>
        <v>Dupta</v>
      </c>
      <c r="D55" s="6" t="str">
        <f>'Farmer Demand'!G55</f>
        <v>Maa Narmada</v>
      </c>
      <c r="E55" s="6" t="s">
        <v>31</v>
      </c>
      <c r="F55" s="7"/>
      <c r="G55" s="6"/>
      <c r="H55" s="6" t="s">
        <v>29</v>
      </c>
      <c r="I55" s="6">
        <v>1</v>
      </c>
      <c r="J55" s="6" t="s">
        <v>191</v>
      </c>
      <c r="K55" s="6" t="s">
        <v>31</v>
      </c>
      <c r="L55" s="7"/>
      <c r="M55" s="6"/>
      <c r="N55" s="6" t="s">
        <v>29</v>
      </c>
      <c r="O55" s="6">
        <v>1</v>
      </c>
      <c r="P55" s="6" t="s">
        <v>249</v>
      </c>
    </row>
    <row r="56" spans="1:16" x14ac:dyDescent="0.25">
      <c r="A56" s="6">
        <f>'Farmer Demand'!A56</f>
        <v>54</v>
      </c>
      <c r="B56" s="6" t="str">
        <f>'Farmer Demand'!C56</f>
        <v>Para Bai</v>
      </c>
      <c r="C56" s="6" t="str">
        <f>'Farmer Demand'!F56</f>
        <v>Dupta</v>
      </c>
      <c r="D56" s="6" t="str">
        <f>'Farmer Demand'!G56</f>
        <v>Maa Narmada</v>
      </c>
      <c r="E56" s="6" t="s">
        <v>31</v>
      </c>
      <c r="F56" s="7"/>
      <c r="G56" s="6"/>
      <c r="H56" s="6" t="s">
        <v>29</v>
      </c>
      <c r="I56" s="6">
        <v>1</v>
      </c>
      <c r="J56" s="6" t="s">
        <v>191</v>
      </c>
      <c r="K56" s="6" t="s">
        <v>31</v>
      </c>
      <c r="L56" s="7"/>
      <c r="M56" s="6"/>
      <c r="N56" s="6" t="s">
        <v>29</v>
      </c>
      <c r="O56" s="6">
        <v>1</v>
      </c>
      <c r="P56" s="6" t="s">
        <v>249</v>
      </c>
    </row>
    <row r="57" spans="1:16" x14ac:dyDescent="0.25">
      <c r="A57" s="6">
        <f>'Farmer Demand'!A57</f>
        <v>55</v>
      </c>
      <c r="B57" s="6" t="str">
        <f>'Farmer Demand'!C57</f>
        <v>Ramli Bai</v>
      </c>
      <c r="C57" s="6" t="str">
        <f>'Farmer Demand'!F57</f>
        <v>Dupta</v>
      </c>
      <c r="D57" s="6" t="str">
        <f>'Farmer Demand'!G57</f>
        <v>Maa Narmada</v>
      </c>
      <c r="E57" s="6" t="s">
        <v>31</v>
      </c>
      <c r="F57" s="7"/>
      <c r="G57" s="6"/>
      <c r="H57" s="6" t="s">
        <v>29</v>
      </c>
      <c r="I57" s="6">
        <v>1</v>
      </c>
      <c r="J57" s="6" t="s">
        <v>191</v>
      </c>
      <c r="K57" s="6" t="s">
        <v>31</v>
      </c>
      <c r="L57" s="7"/>
      <c r="M57" s="6"/>
      <c r="N57" s="6" t="s">
        <v>29</v>
      </c>
      <c r="O57" s="6">
        <v>1</v>
      </c>
      <c r="P57" s="6" t="s">
        <v>249</v>
      </c>
    </row>
    <row r="58" spans="1:16" x14ac:dyDescent="0.25">
      <c r="A58" s="6">
        <f>'Farmer Demand'!A58</f>
        <v>56</v>
      </c>
      <c r="B58" s="6" t="str">
        <f>'Farmer Demand'!C58</f>
        <v>Sandhya Bai</v>
      </c>
      <c r="C58" s="6" t="str">
        <f>'Farmer Demand'!F58</f>
        <v>Dupta</v>
      </c>
      <c r="D58" s="6" t="str">
        <f>'Farmer Demand'!G58</f>
        <v>Maa Narmada</v>
      </c>
      <c r="E58" s="6" t="s">
        <v>31</v>
      </c>
      <c r="F58" s="7"/>
      <c r="G58" s="6"/>
      <c r="H58" s="6" t="s">
        <v>29</v>
      </c>
      <c r="I58" s="6">
        <v>1</v>
      </c>
      <c r="J58" s="6" t="s">
        <v>191</v>
      </c>
      <c r="K58" s="6" t="s">
        <v>31</v>
      </c>
      <c r="L58" s="7"/>
      <c r="M58" s="6"/>
      <c r="N58" s="6" t="s">
        <v>29</v>
      </c>
      <c r="O58" s="6">
        <v>1</v>
      </c>
      <c r="P58" s="6" t="s">
        <v>249</v>
      </c>
    </row>
    <row r="59" spans="1:16" x14ac:dyDescent="0.25">
      <c r="A59" s="6">
        <f>'Farmer Demand'!A59</f>
        <v>57</v>
      </c>
      <c r="B59" s="6" t="str">
        <f>'Farmer Demand'!C59</f>
        <v>Santoshi Bai</v>
      </c>
      <c r="C59" s="6" t="str">
        <f>'Farmer Demand'!F59</f>
        <v>Dupta</v>
      </c>
      <c r="D59" s="6" t="str">
        <f>'Farmer Demand'!G59</f>
        <v>Maa Narmada</v>
      </c>
      <c r="E59" s="6" t="s">
        <v>31</v>
      </c>
      <c r="F59" s="7"/>
      <c r="G59" s="6"/>
      <c r="H59" s="6" t="s">
        <v>29</v>
      </c>
      <c r="I59" s="6">
        <v>1</v>
      </c>
      <c r="J59" s="6" t="s">
        <v>191</v>
      </c>
      <c r="K59" s="6" t="s">
        <v>31</v>
      </c>
      <c r="L59" s="7"/>
      <c r="M59" s="6"/>
      <c r="N59" s="6" t="s">
        <v>29</v>
      </c>
      <c r="O59" s="6">
        <v>1</v>
      </c>
      <c r="P59" s="6" t="s">
        <v>249</v>
      </c>
    </row>
    <row r="60" spans="1:16" x14ac:dyDescent="0.25">
      <c r="A60" s="6">
        <f>'Farmer Demand'!A60</f>
        <v>58</v>
      </c>
      <c r="B60" s="6" t="str">
        <f>'Farmer Demand'!C60</f>
        <v>Anita Bai</v>
      </c>
      <c r="C60" s="6" t="str">
        <f>'Farmer Demand'!F60</f>
        <v>Harra Tikur</v>
      </c>
      <c r="D60" s="6" t="str">
        <f>'Farmer Demand'!G60</f>
        <v>Chetna Ajeevika</v>
      </c>
      <c r="E60" s="6" t="s">
        <v>31</v>
      </c>
      <c r="F60" s="7"/>
      <c r="G60" s="6"/>
      <c r="H60" s="6" t="s">
        <v>29</v>
      </c>
      <c r="I60" s="6">
        <v>1</v>
      </c>
      <c r="J60" s="6" t="s">
        <v>191</v>
      </c>
      <c r="K60" s="6" t="s">
        <v>31</v>
      </c>
      <c r="L60" s="7"/>
      <c r="M60" s="6"/>
      <c r="N60" s="6" t="s">
        <v>29</v>
      </c>
      <c r="O60" s="6">
        <v>1</v>
      </c>
      <c r="P60" s="6" t="s">
        <v>249</v>
      </c>
    </row>
    <row r="61" spans="1:16" x14ac:dyDescent="0.25">
      <c r="A61" s="6">
        <f>'Farmer Demand'!A61</f>
        <v>59</v>
      </c>
      <c r="B61" s="6" t="str">
        <f>'Farmer Demand'!C61</f>
        <v>Baro bai</v>
      </c>
      <c r="C61" s="6" t="str">
        <f>'Farmer Demand'!F61</f>
        <v>Harra Tikur</v>
      </c>
      <c r="D61" s="6" t="str">
        <f>'Farmer Demand'!G61</f>
        <v>Chetna Ajeevika</v>
      </c>
      <c r="E61" s="6" t="s">
        <v>31</v>
      </c>
      <c r="F61" s="7"/>
      <c r="G61" s="6"/>
      <c r="H61" s="6" t="s">
        <v>29</v>
      </c>
      <c r="I61" s="6">
        <v>1</v>
      </c>
      <c r="J61" s="6" t="s">
        <v>191</v>
      </c>
      <c r="K61" s="6" t="s">
        <v>31</v>
      </c>
      <c r="L61" s="7"/>
      <c r="M61" s="6"/>
      <c r="N61" s="6" t="s">
        <v>29</v>
      </c>
      <c r="O61" s="6">
        <v>1</v>
      </c>
      <c r="P61" s="6" t="s">
        <v>249</v>
      </c>
    </row>
    <row r="62" spans="1:16" x14ac:dyDescent="0.25">
      <c r="A62" s="6">
        <f>'Farmer Demand'!A62</f>
        <v>60</v>
      </c>
      <c r="B62" s="6" t="str">
        <f>'Farmer Demand'!C62</f>
        <v>Chandrwati bai</v>
      </c>
      <c r="C62" s="6" t="str">
        <f>'Farmer Demand'!F62</f>
        <v>Harra Tikur</v>
      </c>
      <c r="D62" s="6" t="str">
        <f>'Farmer Demand'!G62</f>
        <v>Chetna Ajeevika</v>
      </c>
      <c r="E62" s="6" t="s">
        <v>31</v>
      </c>
      <c r="F62" s="7"/>
      <c r="G62" s="6"/>
      <c r="H62" s="6" t="s">
        <v>29</v>
      </c>
      <c r="I62" s="6">
        <v>1</v>
      </c>
      <c r="J62" s="6" t="s">
        <v>191</v>
      </c>
      <c r="K62" s="6" t="s">
        <v>31</v>
      </c>
      <c r="L62" s="7"/>
      <c r="M62" s="6"/>
      <c r="N62" s="6" t="s">
        <v>29</v>
      </c>
      <c r="O62" s="6">
        <v>1</v>
      </c>
      <c r="P62" s="6" t="s">
        <v>249</v>
      </c>
    </row>
    <row r="63" spans="1:16" x14ac:dyDescent="0.25">
      <c r="A63" s="6">
        <f>'Farmer Demand'!A63</f>
        <v>61</v>
      </c>
      <c r="B63" s="6" t="str">
        <f>'Farmer Demand'!C63</f>
        <v>Devki Tekam</v>
      </c>
      <c r="C63" s="6" t="str">
        <f>'Farmer Demand'!F63</f>
        <v>Harra Tikur</v>
      </c>
      <c r="D63" s="6" t="str">
        <f>'Farmer Demand'!G63</f>
        <v>Chetna Ajeevika</v>
      </c>
      <c r="E63" s="6" t="s">
        <v>31</v>
      </c>
      <c r="F63" s="7"/>
      <c r="G63" s="6"/>
      <c r="H63" s="6" t="s">
        <v>29</v>
      </c>
      <c r="I63" s="6">
        <v>1</v>
      </c>
      <c r="J63" s="6" t="s">
        <v>191</v>
      </c>
      <c r="K63" s="6" t="s">
        <v>31</v>
      </c>
      <c r="L63" s="7"/>
      <c r="M63" s="6"/>
      <c r="N63" s="6" t="s">
        <v>29</v>
      </c>
      <c r="O63" s="6">
        <v>1</v>
      </c>
      <c r="P63" s="6" t="s">
        <v>249</v>
      </c>
    </row>
    <row r="64" spans="1:16" x14ac:dyDescent="0.25">
      <c r="A64" s="6">
        <f>'Farmer Demand'!A64</f>
        <v>62</v>
      </c>
      <c r="B64" s="6" t="str">
        <f>'Farmer Demand'!C64</f>
        <v>Durga bai</v>
      </c>
      <c r="C64" s="6" t="str">
        <f>'Farmer Demand'!F64</f>
        <v>Harra Tikur</v>
      </c>
      <c r="D64" s="6" t="str">
        <f>'Farmer Demand'!G64</f>
        <v>Chetna Ajeevika</v>
      </c>
      <c r="E64" s="6" t="s">
        <v>31</v>
      </c>
      <c r="F64" s="7"/>
      <c r="G64" s="6"/>
      <c r="H64" s="6" t="s">
        <v>29</v>
      </c>
      <c r="I64" s="6">
        <v>1</v>
      </c>
      <c r="J64" s="6" t="s">
        <v>191</v>
      </c>
      <c r="K64" s="6" t="s">
        <v>31</v>
      </c>
      <c r="L64" s="7"/>
      <c r="M64" s="6"/>
      <c r="N64" s="6" t="s">
        <v>29</v>
      </c>
      <c r="O64" s="6">
        <v>1</v>
      </c>
      <c r="P64" s="6" t="s">
        <v>249</v>
      </c>
    </row>
    <row r="65" spans="1:16" x14ac:dyDescent="0.25">
      <c r="A65" s="6">
        <f>'Farmer Demand'!A65</f>
        <v>63</v>
      </c>
      <c r="B65" s="6" t="str">
        <f>'Farmer Demand'!C65</f>
        <v>Gilaso bai</v>
      </c>
      <c r="C65" s="6" t="str">
        <f>'Farmer Demand'!F65</f>
        <v>Harra Tikur</v>
      </c>
      <c r="D65" s="6" t="str">
        <f>'Farmer Demand'!G65</f>
        <v>Chetna Ajeevika</v>
      </c>
      <c r="E65" s="6" t="s">
        <v>31</v>
      </c>
      <c r="F65" s="7"/>
      <c r="G65" s="6"/>
      <c r="H65" s="6" t="s">
        <v>29</v>
      </c>
      <c r="I65" s="6">
        <v>1</v>
      </c>
      <c r="J65" s="6" t="s">
        <v>191</v>
      </c>
      <c r="K65" s="6" t="s">
        <v>31</v>
      </c>
      <c r="L65" s="7"/>
      <c r="M65" s="6"/>
      <c r="N65" s="6" t="s">
        <v>29</v>
      </c>
      <c r="O65" s="6">
        <v>1</v>
      </c>
      <c r="P65" s="6" t="s">
        <v>249</v>
      </c>
    </row>
    <row r="66" spans="1:16" x14ac:dyDescent="0.25">
      <c r="A66" s="6">
        <f>'Farmer Demand'!A66</f>
        <v>64</v>
      </c>
      <c r="B66" s="6" t="str">
        <f>'Farmer Demand'!C66</f>
        <v>Kapuri bai</v>
      </c>
      <c r="C66" s="6" t="str">
        <f>'Farmer Demand'!F66</f>
        <v>Harra Tikur</v>
      </c>
      <c r="D66" s="6" t="str">
        <f>'Farmer Demand'!G66</f>
        <v>Chetna Ajeevika</v>
      </c>
      <c r="E66" s="6" t="s">
        <v>31</v>
      </c>
      <c r="F66" s="7"/>
      <c r="G66" s="6"/>
      <c r="H66" s="6" t="s">
        <v>29</v>
      </c>
      <c r="I66" s="6">
        <v>1</v>
      </c>
      <c r="J66" s="6" t="s">
        <v>191</v>
      </c>
      <c r="K66" s="6" t="s">
        <v>31</v>
      </c>
      <c r="L66" s="7"/>
      <c r="M66" s="6"/>
      <c r="N66" s="6" t="s">
        <v>29</v>
      </c>
      <c r="O66" s="6">
        <v>1</v>
      </c>
      <c r="P66" s="6" t="s">
        <v>249</v>
      </c>
    </row>
    <row r="67" spans="1:16" x14ac:dyDescent="0.25">
      <c r="A67" s="6">
        <f>'Farmer Demand'!A67</f>
        <v>65</v>
      </c>
      <c r="B67" s="6" t="str">
        <f>'Farmer Demand'!C67</f>
        <v>Laxmi bai</v>
      </c>
      <c r="C67" s="6" t="str">
        <f>'Farmer Demand'!F67</f>
        <v>Harra Tikur</v>
      </c>
      <c r="D67" s="6" t="str">
        <f>'Farmer Demand'!G67</f>
        <v>Chetna Ajeevika</v>
      </c>
      <c r="E67" s="6" t="s">
        <v>31</v>
      </c>
      <c r="F67" s="7"/>
      <c r="G67" s="6"/>
      <c r="H67" s="6" t="s">
        <v>29</v>
      </c>
      <c r="I67" s="6">
        <v>1</v>
      </c>
      <c r="J67" s="6" t="s">
        <v>191</v>
      </c>
      <c r="K67" s="6" t="s">
        <v>31</v>
      </c>
      <c r="L67" s="7"/>
      <c r="M67" s="6"/>
      <c r="N67" s="6" t="s">
        <v>29</v>
      </c>
      <c r="O67" s="6">
        <v>1</v>
      </c>
      <c r="P67" s="6" t="s">
        <v>249</v>
      </c>
    </row>
    <row r="68" spans="1:16" x14ac:dyDescent="0.25">
      <c r="A68" s="6">
        <f>'Farmer Demand'!A68</f>
        <v>66</v>
      </c>
      <c r="B68" s="6" t="str">
        <f>'Farmer Demand'!C68</f>
        <v>Leela bai</v>
      </c>
      <c r="C68" s="6" t="str">
        <f>'Farmer Demand'!F68</f>
        <v>Harra Tikur</v>
      </c>
      <c r="D68" s="6" t="str">
        <f>'Farmer Demand'!G68</f>
        <v>Chetna Ajeevika</v>
      </c>
      <c r="E68" s="6" t="s">
        <v>31</v>
      </c>
      <c r="F68" s="7"/>
      <c r="G68" s="6"/>
      <c r="H68" s="6" t="s">
        <v>29</v>
      </c>
      <c r="I68" s="6">
        <v>1</v>
      </c>
      <c r="J68" s="6" t="s">
        <v>191</v>
      </c>
      <c r="K68" s="6" t="s">
        <v>31</v>
      </c>
      <c r="L68" s="7"/>
      <c r="M68" s="6"/>
      <c r="N68" s="6" t="s">
        <v>29</v>
      </c>
      <c r="O68" s="6">
        <v>1</v>
      </c>
      <c r="P68" s="6" t="s">
        <v>249</v>
      </c>
    </row>
    <row r="69" spans="1:16" x14ac:dyDescent="0.25">
      <c r="A69" s="6">
        <f>'Farmer Demand'!A69</f>
        <v>67</v>
      </c>
      <c r="B69" s="6" t="str">
        <f>'Farmer Demand'!C69</f>
        <v>Munni bai</v>
      </c>
      <c r="C69" s="6" t="str">
        <f>'Farmer Demand'!F69</f>
        <v>Harra Tikur</v>
      </c>
      <c r="D69" s="6" t="str">
        <f>'Farmer Demand'!G69</f>
        <v>Chetna Ajeevika</v>
      </c>
      <c r="E69" s="6" t="s">
        <v>31</v>
      </c>
      <c r="F69" s="7"/>
      <c r="G69" s="6"/>
      <c r="H69" s="6" t="s">
        <v>29</v>
      </c>
      <c r="I69" s="6">
        <v>1</v>
      </c>
      <c r="J69" s="6" t="s">
        <v>191</v>
      </c>
      <c r="K69" s="6" t="s">
        <v>31</v>
      </c>
      <c r="L69" s="7"/>
      <c r="M69" s="6"/>
      <c r="N69" s="6" t="s">
        <v>29</v>
      </c>
      <c r="O69" s="6">
        <v>1</v>
      </c>
      <c r="P69" s="6" t="s">
        <v>249</v>
      </c>
    </row>
    <row r="70" spans="1:16" x14ac:dyDescent="0.25">
      <c r="A70" s="6">
        <f>'Farmer Demand'!A70</f>
        <v>68</v>
      </c>
      <c r="B70" s="6" t="str">
        <f>'Farmer Demand'!C70</f>
        <v>Naniwati bai</v>
      </c>
      <c r="C70" s="6" t="str">
        <f>'Farmer Demand'!F70</f>
        <v>Harra Tikur</v>
      </c>
      <c r="D70" s="6" t="str">
        <f>'Farmer Demand'!G70</f>
        <v>Chetna Ajeevika</v>
      </c>
      <c r="E70" s="6" t="s">
        <v>31</v>
      </c>
      <c r="F70" s="7"/>
      <c r="G70" s="6"/>
      <c r="H70" s="6" t="s">
        <v>29</v>
      </c>
      <c r="I70" s="6">
        <v>1</v>
      </c>
      <c r="J70" s="6" t="s">
        <v>191</v>
      </c>
      <c r="K70" s="6" t="s">
        <v>31</v>
      </c>
      <c r="L70" s="7"/>
      <c r="M70" s="6"/>
      <c r="N70" s="6" t="s">
        <v>29</v>
      </c>
      <c r="O70" s="6">
        <v>1</v>
      </c>
      <c r="P70" s="6" t="s">
        <v>249</v>
      </c>
    </row>
    <row r="71" spans="1:16" x14ac:dyDescent="0.25">
      <c r="A71" s="6">
        <f>'Farmer Demand'!A71</f>
        <v>69</v>
      </c>
      <c r="B71" s="6" t="str">
        <f>'Farmer Demand'!C71</f>
        <v>Panchho bai</v>
      </c>
      <c r="C71" s="6" t="str">
        <f>'Farmer Demand'!F71</f>
        <v>Harra Tikur</v>
      </c>
      <c r="D71" s="6" t="str">
        <f>'Farmer Demand'!G71</f>
        <v>Chetna Ajeevika</v>
      </c>
      <c r="E71" s="6" t="s">
        <v>31</v>
      </c>
      <c r="F71" s="7"/>
      <c r="G71" s="6"/>
      <c r="H71" s="6" t="s">
        <v>29</v>
      </c>
      <c r="I71" s="6">
        <v>1</v>
      </c>
      <c r="J71" s="6" t="s">
        <v>191</v>
      </c>
      <c r="K71" s="6" t="s">
        <v>31</v>
      </c>
      <c r="L71" s="7"/>
      <c r="M71" s="6"/>
      <c r="N71" s="6" t="s">
        <v>29</v>
      </c>
      <c r="O71" s="6">
        <v>1</v>
      </c>
      <c r="P71" s="6" t="s">
        <v>249</v>
      </c>
    </row>
    <row r="72" spans="1:16" x14ac:dyDescent="0.25">
      <c r="A72" s="6">
        <f>'Farmer Demand'!A72</f>
        <v>70</v>
      </c>
      <c r="B72" s="6" t="str">
        <f>'Farmer Demand'!C72</f>
        <v>Prembati bai</v>
      </c>
      <c r="C72" s="6" t="str">
        <f>'Farmer Demand'!F72</f>
        <v>Harra Tikur</v>
      </c>
      <c r="D72" s="6" t="str">
        <f>'Farmer Demand'!G72</f>
        <v>Chetna Ajeevika</v>
      </c>
      <c r="E72" s="6" t="s">
        <v>31</v>
      </c>
      <c r="F72" s="7"/>
      <c r="G72" s="6"/>
      <c r="H72" s="6" t="s">
        <v>29</v>
      </c>
      <c r="I72" s="6">
        <v>1</v>
      </c>
      <c r="J72" s="6" t="s">
        <v>191</v>
      </c>
      <c r="K72" s="6" t="s">
        <v>31</v>
      </c>
      <c r="L72" s="7"/>
      <c r="M72" s="6"/>
      <c r="N72" s="6" t="s">
        <v>29</v>
      </c>
      <c r="O72" s="6">
        <v>1</v>
      </c>
      <c r="P72" s="6" t="s">
        <v>249</v>
      </c>
    </row>
    <row r="73" spans="1:16" x14ac:dyDescent="0.25">
      <c r="A73" s="6">
        <f>'Farmer Demand'!A73</f>
        <v>71</v>
      </c>
      <c r="B73" s="6" t="str">
        <f>'Farmer Demand'!C73</f>
        <v>Shevkali</v>
      </c>
      <c r="C73" s="6" t="str">
        <f>'Farmer Demand'!F73</f>
        <v>Harra Tikur</v>
      </c>
      <c r="D73" s="6" t="str">
        <f>'Farmer Demand'!G73</f>
        <v>Chetna Ajeevika</v>
      </c>
      <c r="E73" s="6" t="s">
        <v>31</v>
      </c>
      <c r="F73" s="7"/>
      <c r="G73" s="6"/>
      <c r="H73" s="6" t="s">
        <v>29</v>
      </c>
      <c r="I73" s="6">
        <v>1</v>
      </c>
      <c r="J73" s="6" t="s">
        <v>191</v>
      </c>
      <c r="K73" s="6" t="s">
        <v>31</v>
      </c>
      <c r="L73" s="7"/>
      <c r="M73" s="6"/>
      <c r="N73" s="6" t="s">
        <v>29</v>
      </c>
      <c r="O73" s="6">
        <v>1</v>
      </c>
      <c r="P73" s="6" t="s">
        <v>249</v>
      </c>
    </row>
    <row r="74" spans="1:16" x14ac:dyDescent="0.25">
      <c r="A74" s="6">
        <f>'Farmer Demand'!A74</f>
        <v>72</v>
      </c>
      <c r="B74" s="6" t="str">
        <f>'Farmer Demand'!C74</f>
        <v>Sohaniya bai</v>
      </c>
      <c r="C74" s="6" t="str">
        <f>'Farmer Demand'!F74</f>
        <v>Harra Tikur</v>
      </c>
      <c r="D74" s="6" t="str">
        <f>'Farmer Demand'!G74</f>
        <v>Chetna Ajeevika</v>
      </c>
      <c r="E74" s="6" t="s">
        <v>31</v>
      </c>
      <c r="F74" s="7"/>
      <c r="G74" s="6"/>
      <c r="H74" s="6" t="s">
        <v>29</v>
      </c>
      <c r="I74" s="6">
        <v>1</v>
      </c>
      <c r="J74" s="6" t="s">
        <v>191</v>
      </c>
      <c r="K74" s="6" t="s">
        <v>31</v>
      </c>
      <c r="L74" s="7"/>
      <c r="M74" s="6"/>
      <c r="N74" s="6" t="s">
        <v>29</v>
      </c>
      <c r="O74" s="6">
        <v>1</v>
      </c>
      <c r="P74" s="6" t="s">
        <v>249</v>
      </c>
    </row>
    <row r="75" spans="1:16" x14ac:dyDescent="0.25">
      <c r="A75" s="6">
        <f>'Farmer Demand'!A75</f>
        <v>73</v>
      </c>
      <c r="B75" s="6" t="str">
        <f>'Farmer Demand'!C75</f>
        <v>Sukalwati</v>
      </c>
      <c r="C75" s="6" t="str">
        <f>'Farmer Demand'!F75</f>
        <v>Harra Tikur</v>
      </c>
      <c r="D75" s="6" t="str">
        <f>'Farmer Demand'!G75</f>
        <v>Chetna Ajeevika</v>
      </c>
      <c r="E75" s="6" t="s">
        <v>31</v>
      </c>
      <c r="F75" s="7"/>
      <c r="G75" s="6"/>
      <c r="H75" s="6" t="s">
        <v>29</v>
      </c>
      <c r="I75" s="6">
        <v>1</v>
      </c>
      <c r="J75" s="6" t="s">
        <v>191</v>
      </c>
      <c r="K75" s="6" t="s">
        <v>31</v>
      </c>
      <c r="L75" s="7"/>
      <c r="M75" s="6"/>
      <c r="N75" s="6" t="s">
        <v>29</v>
      </c>
      <c r="O75" s="6">
        <v>1</v>
      </c>
      <c r="P75" s="6" t="s">
        <v>249</v>
      </c>
    </row>
    <row r="76" spans="1:16" x14ac:dyDescent="0.25">
      <c r="A76" s="6">
        <f>'Farmer Demand'!A76</f>
        <v>74</v>
      </c>
      <c r="B76" s="6" t="str">
        <f>'Farmer Demand'!C76</f>
        <v>Devanti</v>
      </c>
      <c r="C76" s="6" t="str">
        <f>'Farmer Demand'!F76</f>
        <v>Harra Tikur</v>
      </c>
      <c r="D76" s="6" t="str">
        <f>'Farmer Demand'!G76</f>
        <v>Om Shanti Ajeevika</v>
      </c>
      <c r="E76" s="6" t="s">
        <v>31</v>
      </c>
      <c r="F76" s="7"/>
      <c r="G76" s="6"/>
      <c r="H76" s="6" t="s">
        <v>29</v>
      </c>
      <c r="I76" s="6">
        <v>1</v>
      </c>
      <c r="J76" s="6" t="s">
        <v>191</v>
      </c>
      <c r="K76" s="6" t="s">
        <v>31</v>
      </c>
      <c r="L76" s="7"/>
      <c r="M76" s="6"/>
      <c r="N76" s="6" t="s">
        <v>29</v>
      </c>
      <c r="O76" s="6">
        <v>1</v>
      </c>
      <c r="P76" s="6" t="s">
        <v>249</v>
      </c>
    </row>
    <row r="77" spans="1:16" x14ac:dyDescent="0.25">
      <c r="A77" s="6">
        <f>'Farmer Demand'!A77</f>
        <v>75</v>
      </c>
      <c r="B77" s="6" t="str">
        <f>'Farmer Demand'!C77</f>
        <v>Durgeshni</v>
      </c>
      <c r="C77" s="6" t="str">
        <f>'Farmer Demand'!F77</f>
        <v>Harra Tikur</v>
      </c>
      <c r="D77" s="6" t="str">
        <f>'Farmer Demand'!G77</f>
        <v>Om Shanti Ajeevika</v>
      </c>
      <c r="E77" s="6" t="s">
        <v>31</v>
      </c>
      <c r="F77" s="7"/>
      <c r="G77" s="6"/>
      <c r="H77" s="6" t="s">
        <v>29</v>
      </c>
      <c r="I77" s="6">
        <v>1</v>
      </c>
      <c r="J77" s="6" t="s">
        <v>191</v>
      </c>
      <c r="K77" s="6" t="s">
        <v>31</v>
      </c>
      <c r="L77" s="7"/>
      <c r="M77" s="6"/>
      <c r="N77" s="6" t="s">
        <v>29</v>
      </c>
      <c r="O77" s="6">
        <v>1</v>
      </c>
      <c r="P77" s="6" t="s">
        <v>249</v>
      </c>
    </row>
    <row r="78" spans="1:16" x14ac:dyDescent="0.25">
      <c r="A78" s="6">
        <f>'Farmer Demand'!A78</f>
        <v>76</v>
      </c>
      <c r="B78" s="6" t="str">
        <f>'Farmer Demand'!C78</f>
        <v>Guddi Bai</v>
      </c>
      <c r="C78" s="6" t="str">
        <f>'Farmer Demand'!F78</f>
        <v>Harra Tikur</v>
      </c>
      <c r="D78" s="6" t="str">
        <f>'Farmer Demand'!G78</f>
        <v>Om Shanti Ajeevika</v>
      </c>
      <c r="E78" s="6" t="s">
        <v>31</v>
      </c>
      <c r="F78" s="7"/>
      <c r="G78" s="6"/>
      <c r="H78" s="6" t="s">
        <v>29</v>
      </c>
      <c r="I78" s="6">
        <v>1</v>
      </c>
      <c r="J78" s="6" t="s">
        <v>191</v>
      </c>
      <c r="K78" s="6" t="s">
        <v>31</v>
      </c>
      <c r="L78" s="7"/>
      <c r="M78" s="6"/>
      <c r="N78" s="6" t="s">
        <v>29</v>
      </c>
      <c r="O78" s="6">
        <v>1</v>
      </c>
      <c r="P78" s="6" t="s">
        <v>249</v>
      </c>
    </row>
    <row r="79" spans="1:16" x14ac:dyDescent="0.25">
      <c r="A79" s="6">
        <f>'Farmer Demand'!A79</f>
        <v>77</v>
      </c>
      <c r="B79" s="6" t="str">
        <f>'Farmer Demand'!C79</f>
        <v>Kalawati</v>
      </c>
      <c r="C79" s="6" t="str">
        <f>'Farmer Demand'!F79</f>
        <v>Harra Tikur</v>
      </c>
      <c r="D79" s="6" t="str">
        <f>'Farmer Demand'!G79</f>
        <v>Om Shanti Ajeevika</v>
      </c>
      <c r="E79" s="6" t="s">
        <v>31</v>
      </c>
      <c r="F79" s="7"/>
      <c r="G79" s="6"/>
      <c r="H79" s="6" t="s">
        <v>29</v>
      </c>
      <c r="I79" s="6">
        <v>1</v>
      </c>
      <c r="J79" s="6" t="s">
        <v>191</v>
      </c>
      <c r="K79" s="6" t="s">
        <v>31</v>
      </c>
      <c r="L79" s="7"/>
      <c r="M79" s="6"/>
      <c r="N79" s="6" t="s">
        <v>29</v>
      </c>
      <c r="O79" s="6">
        <v>1</v>
      </c>
      <c r="P79" s="6" t="s">
        <v>249</v>
      </c>
    </row>
    <row r="80" spans="1:16" x14ac:dyDescent="0.25">
      <c r="A80" s="6">
        <f>'Farmer Demand'!A80</f>
        <v>78</v>
      </c>
      <c r="B80" s="6" t="str">
        <f>'Farmer Demand'!C80</f>
        <v>Kali Bai</v>
      </c>
      <c r="C80" s="6" t="str">
        <f>'Farmer Demand'!F80</f>
        <v>Harra Tikur</v>
      </c>
      <c r="D80" s="6" t="str">
        <f>'Farmer Demand'!G80</f>
        <v>Om Shanti Ajeevika</v>
      </c>
      <c r="E80" s="6" t="s">
        <v>31</v>
      </c>
      <c r="F80" s="7"/>
      <c r="G80" s="6"/>
      <c r="H80" s="6" t="s">
        <v>29</v>
      </c>
      <c r="I80" s="6">
        <v>1</v>
      </c>
      <c r="J80" s="6" t="s">
        <v>191</v>
      </c>
      <c r="K80" s="6" t="s">
        <v>31</v>
      </c>
      <c r="L80" s="7"/>
      <c r="M80" s="6"/>
      <c r="N80" s="6" t="s">
        <v>29</v>
      </c>
      <c r="O80" s="6">
        <v>1</v>
      </c>
      <c r="P80" s="6" t="s">
        <v>249</v>
      </c>
    </row>
    <row r="81" spans="1:16" x14ac:dyDescent="0.25">
      <c r="A81" s="6">
        <f>'Farmer Demand'!A81</f>
        <v>79</v>
      </c>
      <c r="B81" s="6" t="str">
        <f>'Farmer Demand'!C81</f>
        <v>Kasturiya</v>
      </c>
      <c r="C81" s="6" t="str">
        <f>'Farmer Demand'!F81</f>
        <v>Harra Tikur</v>
      </c>
      <c r="D81" s="6" t="str">
        <f>'Farmer Demand'!G81</f>
        <v>Om Shanti Ajeevika</v>
      </c>
      <c r="E81" s="6" t="s">
        <v>31</v>
      </c>
      <c r="F81" s="7"/>
      <c r="G81" s="6"/>
      <c r="H81" s="6" t="s">
        <v>29</v>
      </c>
      <c r="I81" s="6">
        <v>1</v>
      </c>
      <c r="J81" s="6" t="s">
        <v>191</v>
      </c>
      <c r="K81" s="6" t="s">
        <v>31</v>
      </c>
      <c r="L81" s="7"/>
      <c r="M81" s="6"/>
      <c r="N81" s="6" t="s">
        <v>29</v>
      </c>
      <c r="O81" s="6">
        <v>1</v>
      </c>
      <c r="P81" s="6" t="s">
        <v>249</v>
      </c>
    </row>
    <row r="82" spans="1:16" x14ac:dyDescent="0.25">
      <c r="A82" s="6">
        <f>'Farmer Demand'!A82</f>
        <v>80</v>
      </c>
      <c r="B82" s="6" t="str">
        <f>'Farmer Demand'!C82</f>
        <v>Nainwati</v>
      </c>
      <c r="C82" s="6" t="str">
        <f>'Farmer Demand'!F82</f>
        <v>Harra Tikur</v>
      </c>
      <c r="D82" s="6" t="str">
        <f>'Farmer Demand'!G82</f>
        <v>Om Shanti Ajeevika</v>
      </c>
      <c r="E82" s="6" t="s">
        <v>31</v>
      </c>
      <c r="F82" s="7"/>
      <c r="G82" s="6"/>
      <c r="H82" s="6" t="s">
        <v>29</v>
      </c>
      <c r="I82" s="6">
        <v>1</v>
      </c>
      <c r="J82" s="6" t="s">
        <v>191</v>
      </c>
      <c r="K82" s="6" t="s">
        <v>31</v>
      </c>
      <c r="L82" s="7"/>
      <c r="M82" s="6"/>
      <c r="N82" s="6" t="s">
        <v>29</v>
      </c>
      <c r="O82" s="6">
        <v>1</v>
      </c>
      <c r="P82" s="6" t="s">
        <v>249</v>
      </c>
    </row>
    <row r="83" spans="1:16" x14ac:dyDescent="0.25">
      <c r="A83" s="6">
        <f>'Farmer Demand'!A83</f>
        <v>81</v>
      </c>
      <c r="B83" s="6" t="str">
        <f>'Farmer Demand'!C83</f>
        <v>Phundiya</v>
      </c>
      <c r="C83" s="6" t="str">
        <f>'Farmer Demand'!F83</f>
        <v>Harra Tikur</v>
      </c>
      <c r="D83" s="6" t="str">
        <f>'Farmer Demand'!G83</f>
        <v>Om Shanti Ajeevika</v>
      </c>
      <c r="E83" s="6" t="s">
        <v>31</v>
      </c>
      <c r="F83" s="7"/>
      <c r="G83" s="6"/>
      <c r="H83" s="6" t="s">
        <v>29</v>
      </c>
      <c r="I83" s="6">
        <v>1</v>
      </c>
      <c r="J83" s="6" t="s">
        <v>191</v>
      </c>
      <c r="K83" s="6" t="s">
        <v>31</v>
      </c>
      <c r="L83" s="7"/>
      <c r="M83" s="6"/>
      <c r="N83" s="6" t="s">
        <v>29</v>
      </c>
      <c r="O83" s="6">
        <v>1</v>
      </c>
      <c r="P83" s="6" t="s">
        <v>249</v>
      </c>
    </row>
    <row r="84" spans="1:16" x14ac:dyDescent="0.25">
      <c r="A84" s="6">
        <f>'Farmer Demand'!A84</f>
        <v>82</v>
      </c>
      <c r="B84" s="6" t="str">
        <f>'Farmer Demand'!C84</f>
        <v>Suhaga</v>
      </c>
      <c r="C84" s="6" t="str">
        <f>'Farmer Demand'!F84</f>
        <v>Harra Tikur</v>
      </c>
      <c r="D84" s="6" t="str">
        <f>'Farmer Demand'!G84</f>
        <v>Om Shanti Ajeevika</v>
      </c>
      <c r="E84" s="6" t="s">
        <v>31</v>
      </c>
      <c r="F84" s="7"/>
      <c r="G84" s="6"/>
      <c r="H84" s="6" t="s">
        <v>29</v>
      </c>
      <c r="I84" s="6">
        <v>1</v>
      </c>
      <c r="J84" s="6" t="s">
        <v>191</v>
      </c>
      <c r="K84" s="6" t="s">
        <v>31</v>
      </c>
      <c r="L84" s="7"/>
      <c r="M84" s="6"/>
      <c r="N84" s="6" t="s">
        <v>29</v>
      </c>
      <c r="O84" s="6">
        <v>1</v>
      </c>
      <c r="P84" s="6" t="s">
        <v>249</v>
      </c>
    </row>
    <row r="85" spans="1:16" x14ac:dyDescent="0.25">
      <c r="A85" s="6">
        <f>'Farmer Demand'!A85</f>
        <v>83</v>
      </c>
      <c r="B85" s="6" t="str">
        <f>'Farmer Demand'!C85</f>
        <v>Suhana</v>
      </c>
      <c r="C85" s="6" t="str">
        <f>'Farmer Demand'!F85</f>
        <v>Harra Tikur</v>
      </c>
      <c r="D85" s="6" t="str">
        <f>'Farmer Demand'!G85</f>
        <v>Om Shanti Ajeevika</v>
      </c>
      <c r="E85" s="6" t="s">
        <v>31</v>
      </c>
      <c r="F85" s="7"/>
      <c r="G85" s="6"/>
      <c r="H85" s="6" t="s">
        <v>29</v>
      </c>
      <c r="I85" s="6">
        <v>1</v>
      </c>
      <c r="J85" s="6" t="s">
        <v>191</v>
      </c>
      <c r="K85" s="6" t="s">
        <v>31</v>
      </c>
      <c r="L85" s="7"/>
      <c r="M85" s="6"/>
      <c r="N85" s="6" t="s">
        <v>29</v>
      </c>
      <c r="O85" s="6">
        <v>1</v>
      </c>
      <c r="P85" s="6" t="s">
        <v>249</v>
      </c>
    </row>
    <row r="86" spans="1:16" x14ac:dyDescent="0.25">
      <c r="A86" s="6">
        <f>'Farmer Demand'!A86</f>
        <v>84</v>
      </c>
      <c r="B86" s="6" t="str">
        <f>'Farmer Demand'!C86</f>
        <v>Sumantri</v>
      </c>
      <c r="C86" s="6" t="str">
        <f>'Farmer Demand'!F86</f>
        <v>Harra Tikur</v>
      </c>
      <c r="D86" s="6" t="str">
        <f>'Farmer Demand'!G86</f>
        <v>Om Shanti Ajeevika</v>
      </c>
      <c r="E86" s="6" t="s">
        <v>31</v>
      </c>
      <c r="F86" s="7"/>
      <c r="G86" s="6"/>
      <c r="H86" s="6" t="s">
        <v>29</v>
      </c>
      <c r="I86" s="6">
        <v>1</v>
      </c>
      <c r="J86" s="6" t="s">
        <v>191</v>
      </c>
      <c r="K86" s="6" t="s">
        <v>31</v>
      </c>
      <c r="L86" s="7"/>
      <c r="M86" s="6"/>
      <c r="N86" s="6" t="s">
        <v>29</v>
      </c>
      <c r="O86" s="6">
        <v>1</v>
      </c>
      <c r="P86" s="6" t="s">
        <v>249</v>
      </c>
    </row>
    <row r="87" spans="1:16" x14ac:dyDescent="0.25">
      <c r="A87" s="6">
        <f>'Farmer Demand'!A87</f>
        <v>85</v>
      </c>
      <c r="B87" s="6" t="str">
        <f>'Farmer Demand'!C87</f>
        <v>Usha Tekam</v>
      </c>
      <c r="C87" s="6" t="str">
        <f>'Farmer Demand'!F87</f>
        <v>Harra Tikur</v>
      </c>
      <c r="D87" s="6" t="str">
        <f>'Farmer Demand'!G87</f>
        <v>Om Shanti Ajeevika</v>
      </c>
      <c r="E87" s="6" t="s">
        <v>31</v>
      </c>
      <c r="F87" s="7"/>
      <c r="G87" s="6"/>
      <c r="H87" s="6" t="s">
        <v>29</v>
      </c>
      <c r="I87" s="6">
        <v>1</v>
      </c>
      <c r="J87" s="6" t="s">
        <v>191</v>
      </c>
      <c r="K87" s="6" t="s">
        <v>31</v>
      </c>
      <c r="L87" s="7"/>
      <c r="M87" s="6"/>
      <c r="N87" s="6" t="s">
        <v>29</v>
      </c>
      <c r="O87" s="6">
        <v>1</v>
      </c>
      <c r="P87" s="6" t="s">
        <v>249</v>
      </c>
    </row>
    <row r="88" spans="1:16" x14ac:dyDescent="0.25">
      <c r="A88" s="6">
        <f>'Farmer Demand'!A88</f>
        <v>86</v>
      </c>
      <c r="B88" s="6">
        <f>'Farmer Demand'!C88</f>
        <v>0</v>
      </c>
      <c r="C88" s="6">
        <f>'Farmer Demand'!F88</f>
        <v>0</v>
      </c>
      <c r="D88" s="6">
        <f>'Farmer Demand'!G88</f>
        <v>0</v>
      </c>
      <c r="E88" s="7"/>
      <c r="F88" s="7"/>
      <c r="G88" s="6"/>
      <c r="H88" s="4"/>
      <c r="I88" s="7"/>
      <c r="J88" s="6"/>
      <c r="K88" s="4"/>
      <c r="L88" s="7"/>
      <c r="M88" s="6"/>
      <c r="N88" s="6"/>
      <c r="O88" s="7"/>
      <c r="P88" s="7"/>
    </row>
    <row r="89" spans="1:16" x14ac:dyDescent="0.25">
      <c r="A89" s="6">
        <f>'Farmer Demand'!A89</f>
        <v>87</v>
      </c>
      <c r="B89" s="6">
        <f>'Farmer Demand'!C89</f>
        <v>0</v>
      </c>
      <c r="C89" s="6">
        <f>'Farmer Demand'!F89</f>
        <v>0</v>
      </c>
      <c r="D89" s="6">
        <f>'Farmer Demand'!G89</f>
        <v>0</v>
      </c>
      <c r="E89" s="7"/>
      <c r="F89" s="7"/>
      <c r="G89" s="6"/>
      <c r="H89" s="4"/>
      <c r="I89" s="7"/>
      <c r="J89" s="6"/>
      <c r="K89" s="4"/>
      <c r="L89" s="7"/>
      <c r="M89" s="6"/>
      <c r="N89" s="6"/>
      <c r="O89" s="7"/>
      <c r="P89" s="7"/>
    </row>
    <row r="90" spans="1:16" x14ac:dyDescent="0.25">
      <c r="A90" s="6">
        <f>'Farmer Demand'!A90</f>
        <v>88</v>
      </c>
      <c r="B90" s="6">
        <f>'Farmer Demand'!C90</f>
        <v>0</v>
      </c>
      <c r="C90" s="6">
        <f>'Farmer Demand'!F90</f>
        <v>0</v>
      </c>
      <c r="D90" s="6">
        <f>'Farmer Demand'!G90</f>
        <v>0</v>
      </c>
      <c r="E90" s="7"/>
      <c r="F90" s="7"/>
      <c r="G90" s="6"/>
      <c r="H90" s="4"/>
      <c r="I90" s="7"/>
      <c r="J90" s="6"/>
      <c r="K90" s="4"/>
      <c r="L90" s="7"/>
      <c r="M90" s="6"/>
      <c r="N90" s="6"/>
      <c r="O90" s="7"/>
      <c r="P90" s="7"/>
    </row>
    <row r="91" spans="1:16" x14ac:dyDescent="0.25">
      <c r="A91" s="6">
        <f>'Farmer Demand'!A91</f>
        <v>89</v>
      </c>
      <c r="B91" s="6">
        <f>'Farmer Demand'!C91</f>
        <v>0</v>
      </c>
      <c r="C91" s="6">
        <f>'Farmer Demand'!F91</f>
        <v>0</v>
      </c>
      <c r="D91" s="6">
        <f>'Farmer Demand'!G91</f>
        <v>0</v>
      </c>
      <c r="E91" s="7"/>
      <c r="F91" s="7"/>
      <c r="G91" s="6"/>
      <c r="H91" s="4"/>
      <c r="I91" s="7"/>
      <c r="J91" s="6"/>
      <c r="K91" s="4"/>
      <c r="L91" s="7"/>
      <c r="M91" s="6"/>
      <c r="N91" s="6"/>
      <c r="O91" s="7"/>
      <c r="P91" s="7"/>
    </row>
    <row r="92" spans="1:16" x14ac:dyDescent="0.25">
      <c r="A92" s="6">
        <f>'Farmer Demand'!A92</f>
        <v>90</v>
      </c>
      <c r="B92" s="6">
        <f>'Farmer Demand'!C92</f>
        <v>0</v>
      </c>
      <c r="C92" s="6">
        <f>'Farmer Demand'!F92</f>
        <v>0</v>
      </c>
      <c r="D92" s="6">
        <f>'Farmer Demand'!G92</f>
        <v>0</v>
      </c>
      <c r="E92" s="7"/>
      <c r="F92" s="7"/>
      <c r="G92" s="6"/>
      <c r="H92" s="4"/>
      <c r="I92" s="7"/>
      <c r="J92" s="6"/>
      <c r="K92" s="4"/>
      <c r="L92" s="7"/>
      <c r="M92" s="6"/>
      <c r="N92" s="6"/>
      <c r="O92" s="7"/>
      <c r="P92" s="7"/>
    </row>
    <row r="93" spans="1:16" x14ac:dyDescent="0.25">
      <c r="A93" s="6">
        <f>'Farmer Demand'!A93</f>
        <v>91</v>
      </c>
      <c r="B93" s="6">
        <f>'Farmer Demand'!C93</f>
        <v>0</v>
      </c>
      <c r="C93" s="6">
        <f>'Farmer Demand'!F93</f>
        <v>0</v>
      </c>
      <c r="D93" s="6">
        <f>'Farmer Demand'!G93</f>
        <v>0</v>
      </c>
      <c r="E93" s="7"/>
      <c r="F93" s="7"/>
      <c r="G93" s="6"/>
      <c r="H93" s="4"/>
      <c r="I93" s="7"/>
      <c r="J93" s="6"/>
      <c r="K93" s="4"/>
      <c r="L93" s="7"/>
      <c r="M93" s="6"/>
      <c r="N93" s="6"/>
      <c r="O93" s="7"/>
      <c r="P93" s="7"/>
    </row>
    <row r="94" spans="1:16" x14ac:dyDescent="0.25">
      <c r="A94" s="6">
        <f>'Farmer Demand'!A94</f>
        <v>92</v>
      </c>
      <c r="B94" s="6">
        <f>'Farmer Demand'!C94</f>
        <v>0</v>
      </c>
      <c r="C94" s="6">
        <f>'Farmer Demand'!F94</f>
        <v>0</v>
      </c>
      <c r="D94" s="6">
        <f>'Farmer Demand'!G94</f>
        <v>0</v>
      </c>
      <c r="E94" s="7"/>
      <c r="F94" s="7"/>
      <c r="G94" s="6"/>
      <c r="H94" s="4"/>
      <c r="I94" s="7"/>
      <c r="J94" s="6"/>
      <c r="K94" s="4"/>
      <c r="L94" s="7"/>
      <c r="M94" s="6"/>
      <c r="N94" s="6"/>
      <c r="O94" s="7"/>
      <c r="P94" s="7"/>
    </row>
    <row r="95" spans="1:16" x14ac:dyDescent="0.25">
      <c r="A95" s="6">
        <f>'Farmer Demand'!A95</f>
        <v>93</v>
      </c>
      <c r="B95" s="6">
        <f>'Farmer Demand'!C95</f>
        <v>0</v>
      </c>
      <c r="C95" s="6">
        <f>'Farmer Demand'!F95</f>
        <v>0</v>
      </c>
      <c r="D95" s="6">
        <f>'Farmer Demand'!G95</f>
        <v>0</v>
      </c>
      <c r="E95" s="7"/>
      <c r="F95" s="7"/>
      <c r="G95" s="6"/>
      <c r="H95" s="4"/>
      <c r="I95" s="7"/>
      <c r="J95" s="6"/>
      <c r="K95" s="4"/>
      <c r="L95" s="7"/>
      <c r="M95" s="6"/>
      <c r="N95" s="6"/>
      <c r="O95" s="7"/>
      <c r="P95" s="7"/>
    </row>
    <row r="96" spans="1:16" x14ac:dyDescent="0.25">
      <c r="A96" s="6">
        <f>'Farmer Demand'!A96</f>
        <v>94</v>
      </c>
      <c r="B96" s="6">
        <f>'Farmer Demand'!C96</f>
        <v>0</v>
      </c>
      <c r="C96" s="6">
        <f>'Farmer Demand'!F96</f>
        <v>0</v>
      </c>
      <c r="D96" s="6">
        <f>'Farmer Demand'!G96</f>
        <v>0</v>
      </c>
      <c r="E96" s="7"/>
      <c r="F96" s="7"/>
      <c r="G96" s="6"/>
      <c r="H96" s="4"/>
      <c r="I96" s="7"/>
      <c r="J96" s="6"/>
      <c r="K96" s="4"/>
      <c r="L96" s="7"/>
      <c r="M96" s="6"/>
      <c r="N96" s="6"/>
      <c r="O96" s="7"/>
      <c r="P96" s="7"/>
    </row>
    <row r="97" spans="1:16" x14ac:dyDescent="0.25">
      <c r="A97" s="6">
        <f>'Farmer Demand'!A97</f>
        <v>95</v>
      </c>
      <c r="B97" s="6">
        <f>'Farmer Demand'!C97</f>
        <v>0</v>
      </c>
      <c r="C97" s="6">
        <f>'Farmer Demand'!F97</f>
        <v>0</v>
      </c>
      <c r="D97" s="6">
        <f>'Farmer Demand'!G97</f>
        <v>0</v>
      </c>
      <c r="E97" s="7"/>
      <c r="F97" s="7"/>
      <c r="G97" s="6"/>
      <c r="H97" s="4"/>
      <c r="I97" s="7"/>
      <c r="J97" s="6"/>
      <c r="K97" s="4"/>
      <c r="L97" s="7"/>
      <c r="M97" s="6"/>
      <c r="N97" s="6"/>
      <c r="O97" s="7"/>
      <c r="P97" s="7"/>
    </row>
    <row r="98" spans="1:16" x14ac:dyDescent="0.25">
      <c r="A98" s="6">
        <f>'Farmer Demand'!A98</f>
        <v>96</v>
      </c>
      <c r="B98" s="6">
        <f>'Farmer Demand'!C98</f>
        <v>0</v>
      </c>
      <c r="C98" s="6">
        <f>'Farmer Demand'!F98</f>
        <v>0</v>
      </c>
      <c r="D98" s="6">
        <f>'Farmer Demand'!G98</f>
        <v>0</v>
      </c>
      <c r="E98" s="7"/>
      <c r="F98" s="7"/>
      <c r="G98" s="6"/>
      <c r="H98" s="4"/>
      <c r="I98" s="7"/>
      <c r="J98" s="6"/>
      <c r="K98" s="4"/>
      <c r="L98" s="7"/>
      <c r="M98" s="6"/>
      <c r="N98" s="6"/>
      <c r="O98" s="7"/>
      <c r="P98" s="7"/>
    </row>
    <row r="99" spans="1:16" x14ac:dyDescent="0.25">
      <c r="A99" s="6">
        <f>'Farmer Demand'!A99</f>
        <v>97</v>
      </c>
      <c r="B99" s="6">
        <f>'Farmer Demand'!C99</f>
        <v>0</v>
      </c>
      <c r="C99" s="6">
        <f>'Farmer Demand'!F99</f>
        <v>0</v>
      </c>
      <c r="D99" s="6">
        <f>'Farmer Demand'!G99</f>
        <v>0</v>
      </c>
      <c r="E99" s="7"/>
      <c r="F99" s="7"/>
      <c r="G99" s="6"/>
      <c r="H99" s="4"/>
      <c r="I99" s="7"/>
      <c r="J99" s="6"/>
      <c r="K99" s="4"/>
      <c r="L99" s="7"/>
      <c r="M99" s="6"/>
      <c r="N99" s="6"/>
      <c r="O99" s="7"/>
      <c r="P99" s="7"/>
    </row>
    <row r="100" spans="1:16" x14ac:dyDescent="0.25">
      <c r="A100" s="6">
        <f>'Farmer Demand'!A100</f>
        <v>98</v>
      </c>
      <c r="B100" s="6">
        <f>'Farmer Demand'!C100</f>
        <v>0</v>
      </c>
      <c r="C100" s="6">
        <f>'Farmer Demand'!F100</f>
        <v>0</v>
      </c>
      <c r="D100" s="6">
        <f>'Farmer Demand'!G100</f>
        <v>0</v>
      </c>
      <c r="E100" s="7"/>
      <c r="F100" s="7"/>
      <c r="G100" s="6"/>
      <c r="H100" s="4"/>
      <c r="I100" s="7"/>
      <c r="J100" s="6"/>
      <c r="K100" s="4"/>
      <c r="L100" s="7"/>
      <c r="M100" s="6"/>
      <c r="N100" s="6"/>
      <c r="O100" s="7"/>
      <c r="P100" s="7"/>
    </row>
    <row r="101" spans="1:16" x14ac:dyDescent="0.25">
      <c r="A101" s="6">
        <f>'Farmer Demand'!A101</f>
        <v>99</v>
      </c>
      <c r="B101" s="6">
        <f>'Farmer Demand'!C101</f>
        <v>0</v>
      </c>
      <c r="C101" s="6">
        <f>'Farmer Demand'!F101</f>
        <v>0</v>
      </c>
      <c r="D101" s="6">
        <f>'Farmer Demand'!G101</f>
        <v>0</v>
      </c>
      <c r="E101" s="7"/>
      <c r="F101" s="7"/>
      <c r="G101" s="6"/>
      <c r="H101" s="4"/>
      <c r="I101" s="7"/>
      <c r="J101" s="6"/>
      <c r="K101" s="4"/>
      <c r="L101" s="7"/>
      <c r="M101" s="6"/>
      <c r="N101" s="6"/>
      <c r="O101" s="7"/>
      <c r="P101" s="7"/>
    </row>
    <row r="102" spans="1:16" x14ac:dyDescent="0.25">
      <c r="A102" s="6">
        <f>'Farmer Demand'!A102</f>
        <v>100</v>
      </c>
      <c r="B102" s="6">
        <f>'Farmer Demand'!C102</f>
        <v>0</v>
      </c>
      <c r="C102" s="6">
        <f>'Farmer Demand'!F102</f>
        <v>0</v>
      </c>
      <c r="D102" s="6">
        <f>'Farmer Demand'!G102</f>
        <v>0</v>
      </c>
      <c r="E102" s="7"/>
      <c r="F102" s="7"/>
      <c r="G102" s="6"/>
      <c r="H102" s="4"/>
      <c r="I102" s="7"/>
      <c r="J102" s="6"/>
      <c r="K102" s="4"/>
      <c r="L102" s="7"/>
      <c r="M102" s="6"/>
      <c r="N102" s="6"/>
      <c r="O102" s="7"/>
      <c r="P102" s="7"/>
    </row>
  </sheetData>
  <mergeCells count="1">
    <mergeCell ref="A1:M1"/>
  </mergeCells>
  <conditionalFormatting sqref="E3:E87">
    <cfRule type="containsText" dxfId="53" priority="11" operator="containsText" text="No">
      <formula>NOT(ISERROR(SEARCH("No",E3)))</formula>
    </cfRule>
    <cfRule type="containsText" dxfId="52" priority="12" operator="containsText" text="Yes">
      <formula>NOT(ISERROR(SEARCH("Yes",E3)))</formula>
    </cfRule>
  </conditionalFormatting>
  <conditionalFormatting sqref="H3:H87">
    <cfRule type="containsText" dxfId="51" priority="5" operator="containsText" text="No">
      <formula>NOT(ISERROR(SEARCH("No",H3)))</formula>
    </cfRule>
    <cfRule type="containsText" dxfId="50" priority="6" operator="containsText" text="Yes">
      <formula>NOT(ISERROR(SEARCH("Yes",H3)))</formula>
    </cfRule>
  </conditionalFormatting>
  <conditionalFormatting sqref="K3:K87">
    <cfRule type="containsText" dxfId="49" priority="1" operator="containsText" text="No">
      <formula>NOT(ISERROR(SEARCH("No",K3)))</formula>
    </cfRule>
    <cfRule type="containsText" dxfId="48" priority="2" operator="containsText" text="Yes">
      <formula>NOT(ISERROR(SEARCH("Yes",K3)))</formula>
    </cfRule>
  </conditionalFormatting>
  <conditionalFormatting sqref="N3:N102">
    <cfRule type="containsText" dxfId="47" priority="53" operator="containsText" text="No">
      <formula>NOT(ISERROR(SEARCH("No",N3)))</formula>
    </cfRule>
    <cfRule type="containsText" dxfId="46" priority="54" operator="containsText" text="Yes">
      <formula>NOT(ISERROR(SEARCH("Yes",N3)))</formula>
    </cfRule>
  </conditionalFormatting>
  <dataValidations count="2">
    <dataValidation type="list" allowBlank="1" showInputMessage="1" showErrorMessage="1" sqref="M3:M25 G3:G15 J3:J87 G17" xr:uid="{446999A1-CB35-40FC-9722-52D89124546E}">
      <formula1>"KG, Packets, Litre, Mililitre"</formula1>
    </dataValidation>
    <dataValidation type="list" allowBlank="1" showInputMessage="1" showErrorMessage="1" sqref="N3:N102 H3:H87 E3:E87 K3:K87" xr:uid="{8B8D7BCB-4549-455F-8D02-DDFFD86690F8}">
      <formula1>"Yes, No"</formula1>
    </dataValidation>
  </dataValidation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102"/>
  <sheetViews>
    <sheetView showGridLines="0" zoomScale="91" zoomScaleNormal="91" workbookViewId="0">
      <pane xSplit="3" ySplit="1" topLeftCell="L2" activePane="bottomRight" state="frozen"/>
      <selection pane="topRight" activeCell="D1" sqref="D1"/>
      <selection pane="bottomLeft" activeCell="A2" sqref="A2"/>
      <selection pane="bottomRight" activeCell="B8" sqref="B8:AY27"/>
    </sheetView>
  </sheetViews>
  <sheetFormatPr defaultColWidth="10.7109375" defaultRowHeight="12.75" x14ac:dyDescent="0.25"/>
  <cols>
    <col min="1" max="1" width="5" style="2" customWidth="1"/>
    <col min="2" max="2" width="16.42578125" style="3" customWidth="1"/>
    <col min="3" max="3" width="16.140625" style="2" customWidth="1"/>
    <col min="4" max="4" width="13" style="2" customWidth="1"/>
    <col min="5" max="5" width="10.85546875" style="3" customWidth="1"/>
    <col min="6" max="6" width="11.140625" style="3" customWidth="1"/>
    <col min="7" max="7" width="18.5703125" style="2" customWidth="1"/>
    <col min="8" max="8" width="10.5703125" style="3" customWidth="1"/>
    <col min="9" max="9" width="8.7109375" style="3" customWidth="1"/>
    <col min="10" max="10" width="14.140625" style="2" customWidth="1"/>
    <col min="11" max="11" width="13.42578125" style="3" customWidth="1"/>
    <col min="12" max="12" width="7.5703125" style="3" customWidth="1"/>
    <col min="13" max="13" width="10.5703125" style="3" customWidth="1"/>
    <col min="14" max="14" width="9" style="2" customWidth="1"/>
    <col min="15" max="15" width="8.140625" style="2" customWidth="1"/>
    <col min="16" max="16" width="6.28515625" style="3" hidden="1" customWidth="1"/>
    <col min="17" max="17" width="6.7109375" style="3" hidden="1" customWidth="1"/>
    <col min="18" max="18" width="7.85546875" style="3" hidden="1" customWidth="1"/>
    <col min="19" max="19" width="4.42578125" style="3" hidden="1" customWidth="1"/>
    <col min="20" max="20" width="7.85546875" style="3" customWidth="1"/>
    <col min="21" max="21" width="8.7109375" style="3" customWidth="1"/>
    <col min="22" max="22" width="7.5703125" style="3" customWidth="1"/>
    <col min="23" max="23" width="8.85546875" style="3" customWidth="1"/>
    <col min="24" max="24" width="8.5703125" style="3" customWidth="1"/>
    <col min="25" max="25" width="7" style="3" bestFit="1" customWidth="1"/>
    <col min="26" max="26" width="7.28515625" style="3" hidden="1" customWidth="1"/>
    <col min="27" max="27" width="7.85546875" style="3" hidden="1" customWidth="1"/>
    <col min="28" max="28" width="6.85546875" style="3" hidden="1" customWidth="1"/>
    <col min="29" max="29" width="5.85546875" style="3" hidden="1" customWidth="1"/>
    <col min="30" max="30" width="7.85546875" style="3" hidden="1" customWidth="1"/>
    <col min="31" max="31" width="7.5703125" style="3" hidden="1" customWidth="1"/>
    <col min="32" max="32" width="6.85546875" style="3" hidden="1" customWidth="1"/>
    <col min="33" max="33" width="7.85546875" style="3" hidden="1" customWidth="1"/>
    <col min="34" max="34" width="7" style="3" hidden="1" customWidth="1"/>
    <col min="35" max="35" width="8.7109375" style="3" customWidth="1"/>
    <col min="36" max="36" width="8.28515625" style="3" customWidth="1"/>
    <col min="37" max="37" width="8.7109375" style="3" customWidth="1"/>
    <col min="38" max="39" width="0" style="3" hidden="1" customWidth="1"/>
    <col min="40" max="40" width="8.5703125" style="3" hidden="1" customWidth="1"/>
    <col min="41" max="41" width="7.85546875" style="3" hidden="1" customWidth="1"/>
    <col min="42" max="42" width="0" style="3" hidden="1" customWidth="1"/>
    <col min="43" max="43" width="8.140625" style="3" hidden="1" customWidth="1"/>
    <col min="44" max="44" width="8.42578125" style="3" hidden="1" customWidth="1"/>
    <col min="45" max="45" width="9.5703125" style="3" hidden="1" customWidth="1"/>
    <col min="46" max="46" width="8.28515625" style="3" hidden="1" customWidth="1"/>
    <col min="47" max="47" width="7.7109375" style="3" customWidth="1"/>
    <col min="48" max="48" width="8.85546875" style="3" customWidth="1"/>
    <col min="49" max="49" width="9.7109375" style="3" customWidth="1"/>
    <col min="50" max="50" width="9.28515625" style="3" customWidth="1"/>
    <col min="51" max="51" width="13.140625" style="3" customWidth="1"/>
    <col min="52" max="52" width="7.85546875" style="3" customWidth="1"/>
    <col min="53" max="53" width="10.7109375" style="3"/>
    <col min="54" max="54" width="8.7109375" style="3" customWidth="1"/>
    <col min="55" max="55" width="7.140625" style="3" customWidth="1"/>
    <col min="56" max="57" width="10.7109375" style="3"/>
    <col min="58" max="58" width="8.7109375" style="3" customWidth="1"/>
    <col min="59" max="60" width="10.7109375" style="3"/>
    <col min="61" max="61" width="7.7109375" style="3" customWidth="1"/>
    <col min="62" max="62" width="13.5703125" style="3" customWidth="1"/>
    <col min="63" max="63" width="9.140625" style="3" customWidth="1"/>
    <col min="64" max="64" width="8" style="3" customWidth="1"/>
    <col min="65" max="16384" width="10.7109375" style="3"/>
  </cols>
  <sheetData>
    <row r="1" spans="1:64" ht="43.5" customHeight="1" x14ac:dyDescent="0.25">
      <c r="A1" s="185" t="s">
        <v>267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BA1" s="187" t="s">
        <v>203</v>
      </c>
      <c r="BB1" s="187"/>
      <c r="BC1" s="187"/>
      <c r="BD1" s="187"/>
      <c r="BE1" s="187"/>
      <c r="BF1" s="187"/>
      <c r="BG1" s="187"/>
      <c r="BH1" s="187"/>
      <c r="BI1" s="187"/>
      <c r="BJ1" s="187"/>
      <c r="BK1" s="187"/>
      <c r="BL1" s="188"/>
    </row>
    <row r="2" spans="1:64" s="2" customFormat="1" ht="42.75" customHeight="1" x14ac:dyDescent="0.25">
      <c r="A2" s="8" t="s">
        <v>204</v>
      </c>
      <c r="B2" s="9" t="s">
        <v>205</v>
      </c>
      <c r="C2" s="8" t="s">
        <v>35</v>
      </c>
      <c r="D2" s="8" t="s">
        <v>206</v>
      </c>
      <c r="E2" s="8" t="s">
        <v>207</v>
      </c>
      <c r="F2" s="8" t="s">
        <v>208</v>
      </c>
      <c r="G2" s="8" t="s">
        <v>209</v>
      </c>
      <c r="H2" s="8" t="s">
        <v>210</v>
      </c>
      <c r="I2" s="8" t="s">
        <v>211</v>
      </c>
      <c r="J2" s="8" t="s">
        <v>212</v>
      </c>
      <c r="K2" s="8" t="s">
        <v>213</v>
      </c>
      <c r="L2" s="9" t="s">
        <v>4</v>
      </c>
      <c r="M2" s="8" t="s">
        <v>214</v>
      </c>
      <c r="N2" s="8" t="s">
        <v>215</v>
      </c>
      <c r="O2" s="8" t="s">
        <v>216</v>
      </c>
      <c r="P2" s="9" t="s">
        <v>217</v>
      </c>
      <c r="Q2" s="9" t="s">
        <v>218</v>
      </c>
      <c r="R2" s="8" t="s">
        <v>215</v>
      </c>
      <c r="S2" s="8" t="s">
        <v>216</v>
      </c>
      <c r="T2" s="9" t="s">
        <v>134</v>
      </c>
      <c r="U2" s="8" t="s">
        <v>215</v>
      </c>
      <c r="V2" s="8" t="s">
        <v>216</v>
      </c>
      <c r="W2" s="9" t="s">
        <v>6</v>
      </c>
      <c r="X2" s="8" t="s">
        <v>215</v>
      </c>
      <c r="Y2" s="8" t="s">
        <v>216</v>
      </c>
      <c r="Z2" s="9" t="s">
        <v>219</v>
      </c>
      <c r="AA2" s="8" t="s">
        <v>215</v>
      </c>
      <c r="AB2" s="8" t="s">
        <v>216</v>
      </c>
      <c r="AC2" s="9" t="s">
        <v>220</v>
      </c>
      <c r="AD2" s="8" t="s">
        <v>215</v>
      </c>
      <c r="AE2" s="8" t="s">
        <v>216</v>
      </c>
      <c r="AF2" s="9" t="s">
        <v>221</v>
      </c>
      <c r="AG2" s="8" t="s">
        <v>215</v>
      </c>
      <c r="AH2" s="8" t="s">
        <v>216</v>
      </c>
      <c r="AI2" s="9" t="s">
        <v>7</v>
      </c>
      <c r="AJ2" s="8" t="s">
        <v>215</v>
      </c>
      <c r="AK2" s="8" t="s">
        <v>216</v>
      </c>
      <c r="AL2" s="8" t="s">
        <v>222</v>
      </c>
      <c r="AM2" s="8" t="s">
        <v>215</v>
      </c>
      <c r="AN2" s="8" t="s">
        <v>216</v>
      </c>
      <c r="AO2" s="9" t="s">
        <v>138</v>
      </c>
      <c r="AP2" s="8" t="s">
        <v>215</v>
      </c>
      <c r="AQ2" s="8" t="s">
        <v>216</v>
      </c>
      <c r="AR2" s="8" t="s">
        <v>223</v>
      </c>
      <c r="AS2" s="8" t="s">
        <v>215</v>
      </c>
      <c r="AT2" s="8" t="s">
        <v>216</v>
      </c>
      <c r="AU2" s="8" t="s">
        <v>224</v>
      </c>
      <c r="AV2" s="8" t="s">
        <v>216</v>
      </c>
      <c r="AW2" s="8" t="s">
        <v>225</v>
      </c>
      <c r="AX2" s="8" t="s">
        <v>216</v>
      </c>
      <c r="AY2" s="8" t="s">
        <v>226</v>
      </c>
      <c r="AZ2" s="8" t="s">
        <v>216</v>
      </c>
      <c r="BA2" s="8" t="str">
        <f>'Fertilizer &amp; Pesticide demand'!E2</f>
        <v>Product Name-1 
DAP Khad</v>
      </c>
      <c r="BB2" s="8" t="str">
        <f>'Fertilizer &amp; Pesticide demand'!F2</f>
        <v>Quantity</v>
      </c>
      <c r="BC2" s="8" t="str">
        <f>'Fertilizer &amp; Pesticide demand'!G2</f>
        <v>Unit</v>
      </c>
      <c r="BD2" s="8" t="str">
        <f>'Fertilizer &amp; Pesticide demand'!H2</f>
        <v>Product Name-2 
Urea</v>
      </c>
      <c r="BE2" s="8" t="str">
        <f>'Fertilizer &amp; Pesticide demand'!I2</f>
        <v>Quantity</v>
      </c>
      <c r="BF2" s="8" t="str">
        <f>'Fertilizer &amp; Pesticide demand'!J2</f>
        <v>Unit</v>
      </c>
      <c r="BG2" s="8" t="str">
        <f>'Fertilizer &amp; Pesticide demand'!K2</f>
        <v>Product Name-3 
Kitnashak</v>
      </c>
      <c r="BH2" s="8" t="str">
        <f>'Fertilizer &amp; Pesticide demand'!L2</f>
        <v>Quantity</v>
      </c>
      <c r="BI2" s="8" t="str">
        <f>'Fertilizer &amp; Pesticide demand'!M2</f>
        <v>Unit</v>
      </c>
      <c r="BJ2" s="8" t="str">
        <f>'Fertilizer &amp; Pesticide demand'!N2</f>
        <v>Seed treatment medicine (Culture)</v>
      </c>
      <c r="BK2" s="8" t="str">
        <f>'Fertilizer &amp; Pesticide demand'!O2</f>
        <v>Quantity</v>
      </c>
      <c r="BL2" s="8" t="str">
        <f>'Fertilizer &amp; Pesticide demand'!P2</f>
        <v>Unit</v>
      </c>
    </row>
    <row r="3" spans="1:64" s="5" customFormat="1" ht="20.100000000000001" customHeight="1" x14ac:dyDescent="0.25">
      <c r="A3" s="6">
        <v>1</v>
      </c>
      <c r="B3" s="13" t="s">
        <v>15</v>
      </c>
      <c r="C3" s="6" t="s">
        <v>88</v>
      </c>
      <c r="D3" s="6"/>
      <c r="E3" s="6" t="s">
        <v>29</v>
      </c>
      <c r="F3" s="13" t="s">
        <v>14</v>
      </c>
      <c r="G3" s="13" t="s">
        <v>227</v>
      </c>
      <c r="H3" s="6" t="s">
        <v>228</v>
      </c>
      <c r="I3" s="6" t="s">
        <v>29</v>
      </c>
      <c r="J3" s="10" t="s">
        <v>173</v>
      </c>
      <c r="K3" s="6">
        <v>200</v>
      </c>
      <c r="L3" s="6" t="s">
        <v>29</v>
      </c>
      <c r="M3" s="6" t="s">
        <v>180</v>
      </c>
      <c r="N3" s="6">
        <v>100</v>
      </c>
      <c r="O3" s="6" t="s">
        <v>190</v>
      </c>
      <c r="P3" s="6" t="s">
        <v>31</v>
      </c>
      <c r="Q3" s="6" t="s">
        <v>229</v>
      </c>
      <c r="R3" s="6" t="s">
        <v>229</v>
      </c>
      <c r="S3" s="6" t="s">
        <v>229</v>
      </c>
      <c r="T3" s="6" t="s">
        <v>31</v>
      </c>
      <c r="U3" s="6" t="s">
        <v>229</v>
      </c>
      <c r="V3" s="6" t="s">
        <v>229</v>
      </c>
      <c r="W3" s="6" t="s">
        <v>31</v>
      </c>
      <c r="X3" s="6" t="s">
        <v>229</v>
      </c>
      <c r="Y3" s="6" t="s">
        <v>229</v>
      </c>
      <c r="Z3" s="6" t="s">
        <v>31</v>
      </c>
      <c r="AA3" s="6" t="s">
        <v>229</v>
      </c>
      <c r="AB3" s="6" t="s">
        <v>229</v>
      </c>
      <c r="AC3" s="6" t="s">
        <v>31</v>
      </c>
      <c r="AD3" s="6" t="s">
        <v>229</v>
      </c>
      <c r="AE3" s="6" t="s">
        <v>229</v>
      </c>
      <c r="AF3" s="6" t="s">
        <v>31</v>
      </c>
      <c r="AG3" s="6" t="s">
        <v>229</v>
      </c>
      <c r="AH3" s="6" t="s">
        <v>229</v>
      </c>
      <c r="AI3" s="6" t="s">
        <v>29</v>
      </c>
      <c r="AJ3" s="21">
        <v>1</v>
      </c>
      <c r="AK3" s="21" t="s">
        <v>191</v>
      </c>
      <c r="AL3" s="6" t="s">
        <v>31</v>
      </c>
      <c r="AM3" s="6" t="s">
        <v>229</v>
      </c>
      <c r="AN3" s="6" t="s">
        <v>229</v>
      </c>
      <c r="AO3" s="6" t="s">
        <v>31</v>
      </c>
      <c r="AP3" s="6" t="s">
        <v>229</v>
      </c>
      <c r="AQ3" s="6" t="s">
        <v>229</v>
      </c>
      <c r="AR3" s="6" t="s">
        <v>31</v>
      </c>
      <c r="AS3" s="6" t="s">
        <v>229</v>
      </c>
      <c r="AT3" s="6" t="s">
        <v>229</v>
      </c>
      <c r="AU3" s="6">
        <v>3</v>
      </c>
      <c r="AV3" s="6" t="s">
        <v>230</v>
      </c>
      <c r="AW3" s="6">
        <v>40</v>
      </c>
      <c r="AX3" s="6" t="s">
        <v>231</v>
      </c>
      <c r="AY3" s="6">
        <v>12</v>
      </c>
      <c r="AZ3" s="6" t="s">
        <v>231</v>
      </c>
      <c r="BA3" s="23" t="str">
        <f>'Fertilizer &amp; Pesticide demand'!E3</f>
        <v>Yes</v>
      </c>
      <c r="BB3" s="23">
        <f>'Fertilizer &amp; Pesticide demand'!F3</f>
        <v>6</v>
      </c>
      <c r="BC3" s="23" t="str">
        <f>'Fertilizer &amp; Pesticide demand'!G3</f>
        <v>Packets</v>
      </c>
      <c r="BD3" s="23" t="str">
        <f>'Fertilizer &amp; Pesticide demand'!H3</f>
        <v>Yes</v>
      </c>
      <c r="BE3" s="23">
        <f>'Fertilizer &amp; Pesticide demand'!I3</f>
        <v>6</v>
      </c>
      <c r="BF3" s="23" t="str">
        <f>'Fertilizer &amp; Pesticide demand'!J3</f>
        <v>Packets</v>
      </c>
      <c r="BG3" s="10" t="str">
        <f>'Fertilizer &amp; Pesticide demand'!K3</f>
        <v>No</v>
      </c>
      <c r="BH3" s="10">
        <f>'Fertilizer &amp; Pesticide demand'!L3</f>
        <v>0</v>
      </c>
      <c r="BI3" s="10">
        <f>'Fertilizer &amp; Pesticide demand'!M3</f>
        <v>0</v>
      </c>
      <c r="BJ3" s="10" t="str">
        <f>'Fertilizer &amp; Pesticide demand'!N3</f>
        <v>Yes</v>
      </c>
      <c r="BK3" s="10">
        <f>'Fertilizer &amp; Pesticide demand'!O3</f>
        <v>1</v>
      </c>
      <c r="BL3" s="10" t="str">
        <f>'Fertilizer &amp; Pesticide demand'!P3</f>
        <v>Packet</v>
      </c>
    </row>
    <row r="4" spans="1:64" s="5" customFormat="1" ht="20.100000000000001" customHeight="1" x14ac:dyDescent="0.25">
      <c r="A4" s="6">
        <f>A3+1</f>
        <v>2</v>
      </c>
      <c r="B4" s="13" t="s">
        <v>15</v>
      </c>
      <c r="C4" s="6" t="s">
        <v>84</v>
      </c>
      <c r="D4" s="6"/>
      <c r="E4" s="6" t="s">
        <v>29</v>
      </c>
      <c r="F4" s="13" t="s">
        <v>14</v>
      </c>
      <c r="G4" s="6" t="s">
        <v>232</v>
      </c>
      <c r="H4" s="6" t="s">
        <v>228</v>
      </c>
      <c r="I4" s="6" t="s">
        <v>29</v>
      </c>
      <c r="J4" s="10" t="s">
        <v>173</v>
      </c>
      <c r="K4" s="6">
        <v>200</v>
      </c>
      <c r="L4" s="6" t="s">
        <v>29</v>
      </c>
      <c r="M4" s="6" t="s">
        <v>180</v>
      </c>
      <c r="N4" s="6">
        <v>1</v>
      </c>
      <c r="O4" s="6" t="s">
        <v>191</v>
      </c>
      <c r="P4" s="6" t="s">
        <v>31</v>
      </c>
      <c r="Q4" s="6" t="s">
        <v>229</v>
      </c>
      <c r="R4" s="6" t="s">
        <v>229</v>
      </c>
      <c r="S4" s="6" t="s">
        <v>229</v>
      </c>
      <c r="T4" s="6" t="s">
        <v>31</v>
      </c>
      <c r="U4" s="6" t="s">
        <v>229</v>
      </c>
      <c r="V4" s="6" t="s">
        <v>229</v>
      </c>
      <c r="W4" s="6" t="s">
        <v>31</v>
      </c>
      <c r="X4" s="6" t="s">
        <v>229</v>
      </c>
      <c r="Y4" s="6" t="s">
        <v>229</v>
      </c>
      <c r="Z4" s="6" t="s">
        <v>31</v>
      </c>
      <c r="AA4" s="6" t="s">
        <v>229</v>
      </c>
      <c r="AB4" s="6" t="s">
        <v>229</v>
      </c>
      <c r="AC4" s="6" t="s">
        <v>31</v>
      </c>
      <c r="AD4" s="6" t="s">
        <v>229</v>
      </c>
      <c r="AE4" s="6" t="s">
        <v>229</v>
      </c>
      <c r="AF4" s="6" t="s">
        <v>31</v>
      </c>
      <c r="AG4" s="6" t="s">
        <v>229</v>
      </c>
      <c r="AH4" s="6" t="s">
        <v>229</v>
      </c>
      <c r="AI4" s="6" t="s">
        <v>31</v>
      </c>
      <c r="AJ4" s="6" t="s">
        <v>229</v>
      </c>
      <c r="AK4" s="6" t="s">
        <v>229</v>
      </c>
      <c r="AL4" s="6" t="s">
        <v>31</v>
      </c>
      <c r="AM4" s="6" t="s">
        <v>229</v>
      </c>
      <c r="AN4" s="6" t="s">
        <v>229</v>
      </c>
      <c r="AO4" s="6" t="s">
        <v>31</v>
      </c>
      <c r="AP4" s="6" t="s">
        <v>229</v>
      </c>
      <c r="AQ4" s="6" t="s">
        <v>229</v>
      </c>
      <c r="AR4" s="6" t="s">
        <v>31</v>
      </c>
      <c r="AS4" s="6" t="s">
        <v>229</v>
      </c>
      <c r="AT4" s="6" t="s">
        <v>229</v>
      </c>
      <c r="AU4" s="6">
        <v>1</v>
      </c>
      <c r="AV4" s="6" t="s">
        <v>230</v>
      </c>
      <c r="AW4" s="6">
        <v>16</v>
      </c>
      <c r="AX4" s="6" t="s">
        <v>231</v>
      </c>
      <c r="AY4" s="6">
        <v>8</v>
      </c>
      <c r="AZ4" s="6" t="s">
        <v>231</v>
      </c>
      <c r="BA4" s="23" t="str">
        <f>'Fertilizer &amp; Pesticide demand'!E4</f>
        <v>Yes</v>
      </c>
      <c r="BB4" s="10">
        <f>'Fertilizer &amp; Pesticide demand'!F4</f>
        <v>0</v>
      </c>
      <c r="BC4" s="10">
        <f>'Fertilizer &amp; Pesticide demand'!G4</f>
        <v>0</v>
      </c>
      <c r="BD4" s="23" t="str">
        <f>'Fertilizer &amp; Pesticide demand'!H4</f>
        <v>No</v>
      </c>
      <c r="BE4" s="10">
        <f>'Fertilizer &amp; Pesticide demand'!I4</f>
        <v>0</v>
      </c>
      <c r="BF4" s="10">
        <f>'Fertilizer &amp; Pesticide demand'!J4</f>
        <v>0</v>
      </c>
      <c r="BG4" s="10" t="str">
        <f>'Fertilizer &amp; Pesticide demand'!K4</f>
        <v>No</v>
      </c>
      <c r="BH4" s="10">
        <f>'Fertilizer &amp; Pesticide demand'!L4</f>
        <v>0</v>
      </c>
      <c r="BI4" s="10">
        <f>'Fertilizer &amp; Pesticide demand'!M4</f>
        <v>0</v>
      </c>
      <c r="BJ4" s="10" t="str">
        <f>'Fertilizer &amp; Pesticide demand'!N4</f>
        <v>Yes</v>
      </c>
      <c r="BK4" s="10">
        <f>'Fertilizer &amp; Pesticide demand'!O4</f>
        <v>1</v>
      </c>
      <c r="BL4" s="10" t="str">
        <f>'Fertilizer &amp; Pesticide demand'!P4</f>
        <v>Packet</v>
      </c>
    </row>
    <row r="5" spans="1:64" s="5" customFormat="1" ht="20.100000000000001" customHeight="1" x14ac:dyDescent="0.25">
      <c r="A5" s="6">
        <f t="shared" ref="A5:A23" si="0">A4+1</f>
        <v>3</v>
      </c>
      <c r="B5" s="13" t="s">
        <v>15</v>
      </c>
      <c r="C5" s="6" t="s">
        <v>116</v>
      </c>
      <c r="D5" s="6"/>
      <c r="E5" s="6" t="s">
        <v>29</v>
      </c>
      <c r="F5" s="13" t="s">
        <v>14</v>
      </c>
      <c r="G5" s="6" t="s">
        <v>232</v>
      </c>
      <c r="H5" s="6" t="s">
        <v>228</v>
      </c>
      <c r="I5" s="6" t="s">
        <v>29</v>
      </c>
      <c r="J5" s="10" t="s">
        <v>173</v>
      </c>
      <c r="K5" s="6">
        <v>200</v>
      </c>
      <c r="L5" s="6" t="s">
        <v>29</v>
      </c>
      <c r="M5" s="6" t="s">
        <v>180</v>
      </c>
      <c r="N5" s="6">
        <v>1</v>
      </c>
      <c r="O5" s="6" t="s">
        <v>191</v>
      </c>
      <c r="P5" s="6" t="s">
        <v>31</v>
      </c>
      <c r="Q5" s="6" t="s">
        <v>229</v>
      </c>
      <c r="R5" s="6" t="s">
        <v>229</v>
      </c>
      <c r="S5" s="6" t="s">
        <v>229</v>
      </c>
      <c r="T5" s="6" t="s">
        <v>31</v>
      </c>
      <c r="U5" s="6" t="s">
        <v>229</v>
      </c>
      <c r="V5" s="6" t="s">
        <v>229</v>
      </c>
      <c r="W5" s="6" t="s">
        <v>29</v>
      </c>
      <c r="X5" s="21">
        <v>1</v>
      </c>
      <c r="Y5" s="22" t="s">
        <v>191</v>
      </c>
      <c r="Z5" s="6" t="s">
        <v>31</v>
      </c>
      <c r="AA5" s="6" t="s">
        <v>229</v>
      </c>
      <c r="AB5" s="6" t="s">
        <v>229</v>
      </c>
      <c r="AC5" s="6" t="s">
        <v>31</v>
      </c>
      <c r="AD5" s="6" t="s">
        <v>229</v>
      </c>
      <c r="AE5" s="6" t="s">
        <v>229</v>
      </c>
      <c r="AF5" s="6" t="s">
        <v>31</v>
      </c>
      <c r="AG5" s="6" t="s">
        <v>229</v>
      </c>
      <c r="AH5" s="6" t="s">
        <v>229</v>
      </c>
      <c r="AI5" s="6" t="s">
        <v>29</v>
      </c>
      <c r="AJ5" s="21">
        <v>1</v>
      </c>
      <c r="AK5" s="21" t="s">
        <v>191</v>
      </c>
      <c r="AL5" s="6" t="s">
        <v>31</v>
      </c>
      <c r="AM5" s="6" t="s">
        <v>229</v>
      </c>
      <c r="AN5" s="6" t="s">
        <v>229</v>
      </c>
      <c r="AO5" s="6" t="s">
        <v>31</v>
      </c>
      <c r="AP5" s="6" t="s">
        <v>229</v>
      </c>
      <c r="AQ5" s="6" t="s">
        <v>229</v>
      </c>
      <c r="AR5" s="6" t="s">
        <v>31</v>
      </c>
      <c r="AS5" s="6" t="s">
        <v>229</v>
      </c>
      <c r="AT5" s="6" t="s">
        <v>229</v>
      </c>
      <c r="AU5" s="6">
        <v>1</v>
      </c>
      <c r="AV5" s="6" t="s">
        <v>230</v>
      </c>
      <c r="AW5" s="6">
        <v>18</v>
      </c>
      <c r="AX5" s="6" t="s">
        <v>231</v>
      </c>
      <c r="AY5" s="6">
        <v>4</v>
      </c>
      <c r="AZ5" s="6" t="s">
        <v>231</v>
      </c>
      <c r="BA5" s="23" t="str">
        <f>'Fertilizer &amp; Pesticide demand'!E5</f>
        <v>No</v>
      </c>
      <c r="BB5" s="10">
        <f>'Fertilizer &amp; Pesticide demand'!F5</f>
        <v>0</v>
      </c>
      <c r="BC5" s="10">
        <f>'Fertilizer &amp; Pesticide demand'!G5</f>
        <v>0</v>
      </c>
      <c r="BD5" s="23" t="str">
        <f>'Fertilizer &amp; Pesticide demand'!H5</f>
        <v>Yes</v>
      </c>
      <c r="BE5" s="10">
        <f>'Fertilizer &amp; Pesticide demand'!I5</f>
        <v>0</v>
      </c>
      <c r="BF5" s="10">
        <f>'Fertilizer &amp; Pesticide demand'!J5</f>
        <v>0</v>
      </c>
      <c r="BG5" s="10" t="str">
        <f>'Fertilizer &amp; Pesticide demand'!K5</f>
        <v>Yes</v>
      </c>
      <c r="BH5" s="10">
        <f>'Fertilizer &amp; Pesticide demand'!L5</f>
        <v>0</v>
      </c>
      <c r="BI5" s="10">
        <f>'Fertilizer &amp; Pesticide demand'!M5</f>
        <v>0</v>
      </c>
      <c r="BJ5" s="10" t="str">
        <f>'Fertilizer &amp; Pesticide demand'!N5</f>
        <v>Yes</v>
      </c>
      <c r="BK5" s="10">
        <f>'Fertilizer &amp; Pesticide demand'!O5</f>
        <v>1</v>
      </c>
      <c r="BL5" s="10" t="str">
        <f>'Fertilizer &amp; Pesticide demand'!P5</f>
        <v>Packet</v>
      </c>
    </row>
    <row r="6" spans="1:64" s="14" customFormat="1" ht="20.100000000000001" customHeight="1" x14ac:dyDescent="0.25">
      <c r="A6" s="6">
        <f t="shared" si="0"/>
        <v>4</v>
      </c>
      <c r="B6" s="13" t="s">
        <v>15</v>
      </c>
      <c r="C6" s="6" t="s">
        <v>117</v>
      </c>
      <c r="D6" s="6"/>
      <c r="E6" s="6" t="s">
        <v>29</v>
      </c>
      <c r="F6" s="13" t="s">
        <v>14</v>
      </c>
      <c r="G6" s="6" t="s">
        <v>233</v>
      </c>
      <c r="H6" s="6" t="s">
        <v>228</v>
      </c>
      <c r="I6" s="6" t="s">
        <v>29</v>
      </c>
      <c r="J6" s="10" t="s">
        <v>173</v>
      </c>
      <c r="K6" s="6">
        <v>200</v>
      </c>
      <c r="L6" s="6" t="s">
        <v>29</v>
      </c>
      <c r="M6" s="6" t="s">
        <v>180</v>
      </c>
      <c r="N6" s="6">
        <v>25</v>
      </c>
      <c r="O6" s="6" t="s">
        <v>190</v>
      </c>
      <c r="P6" s="6" t="s">
        <v>31</v>
      </c>
      <c r="Q6" s="6" t="s">
        <v>229</v>
      </c>
      <c r="R6" s="6" t="s">
        <v>229</v>
      </c>
      <c r="S6" s="6" t="s">
        <v>229</v>
      </c>
      <c r="T6" s="6" t="s">
        <v>29</v>
      </c>
      <c r="U6" s="21">
        <v>2</v>
      </c>
      <c r="V6" s="21" t="s">
        <v>190</v>
      </c>
      <c r="W6" s="6" t="s">
        <v>31</v>
      </c>
      <c r="X6" s="6" t="s">
        <v>229</v>
      </c>
      <c r="Y6" s="6" t="s">
        <v>229</v>
      </c>
      <c r="Z6" s="6" t="s">
        <v>31</v>
      </c>
      <c r="AA6" s="6" t="s">
        <v>229</v>
      </c>
      <c r="AB6" s="6" t="s">
        <v>229</v>
      </c>
      <c r="AC6" s="6" t="s">
        <v>31</v>
      </c>
      <c r="AD6" s="6" t="s">
        <v>229</v>
      </c>
      <c r="AE6" s="6" t="s">
        <v>229</v>
      </c>
      <c r="AF6" s="6" t="s">
        <v>31</v>
      </c>
      <c r="AG6" s="6" t="s">
        <v>229</v>
      </c>
      <c r="AH6" s="6" t="s">
        <v>229</v>
      </c>
      <c r="AI6" s="6" t="s">
        <v>31</v>
      </c>
      <c r="AJ6" s="6" t="s">
        <v>229</v>
      </c>
      <c r="AK6" s="6" t="s">
        <v>229</v>
      </c>
      <c r="AL6" s="6" t="s">
        <v>31</v>
      </c>
      <c r="AM6" s="6" t="s">
        <v>229</v>
      </c>
      <c r="AN6" s="6" t="s">
        <v>229</v>
      </c>
      <c r="AO6" s="6" t="s">
        <v>31</v>
      </c>
      <c r="AP6" s="6" t="s">
        <v>229</v>
      </c>
      <c r="AQ6" s="6" t="s">
        <v>229</v>
      </c>
      <c r="AR6" s="6" t="s">
        <v>31</v>
      </c>
      <c r="AS6" s="6" t="s">
        <v>229</v>
      </c>
      <c r="AT6" s="6" t="s">
        <v>229</v>
      </c>
      <c r="AU6" s="6">
        <v>0.5</v>
      </c>
      <c r="AV6" s="6" t="s">
        <v>230</v>
      </c>
      <c r="AW6" s="6">
        <v>7</v>
      </c>
      <c r="AX6" s="6" t="s">
        <v>231</v>
      </c>
      <c r="AY6" s="6">
        <v>1</v>
      </c>
      <c r="AZ6" s="6" t="s">
        <v>231</v>
      </c>
      <c r="BA6" s="23" t="str">
        <f>'Fertilizer &amp; Pesticide demand'!E6</f>
        <v>No</v>
      </c>
      <c r="BB6" s="10">
        <f>'Fertilizer &amp; Pesticide demand'!F6</f>
        <v>0</v>
      </c>
      <c r="BC6" s="10">
        <f>'Fertilizer &amp; Pesticide demand'!G6</f>
        <v>0</v>
      </c>
      <c r="BD6" s="23" t="str">
        <f>'Fertilizer &amp; Pesticide demand'!H6</f>
        <v>Yes</v>
      </c>
      <c r="BE6" s="10">
        <f>'Fertilizer &amp; Pesticide demand'!I6</f>
        <v>0</v>
      </c>
      <c r="BF6" s="10">
        <f>'Fertilizer &amp; Pesticide demand'!J6</f>
        <v>0</v>
      </c>
      <c r="BG6" s="10" t="str">
        <f>'Fertilizer &amp; Pesticide demand'!K6</f>
        <v>Yes</v>
      </c>
      <c r="BH6" s="10">
        <f>'Fertilizer &amp; Pesticide demand'!L6</f>
        <v>0</v>
      </c>
      <c r="BI6" s="10">
        <f>'Fertilizer &amp; Pesticide demand'!M6</f>
        <v>0</v>
      </c>
      <c r="BJ6" s="10" t="str">
        <f>'Fertilizer &amp; Pesticide demand'!N6</f>
        <v>Yes</v>
      </c>
      <c r="BK6" s="10">
        <f>'Fertilizer &amp; Pesticide demand'!O6</f>
        <v>1</v>
      </c>
      <c r="BL6" s="10" t="str">
        <f>'Fertilizer &amp; Pesticide demand'!P6</f>
        <v>Packet</v>
      </c>
    </row>
    <row r="7" spans="1:64" ht="20.100000000000001" customHeight="1" x14ac:dyDescent="0.25">
      <c r="A7" s="6">
        <f t="shared" si="0"/>
        <v>5</v>
      </c>
      <c r="B7" s="13" t="s">
        <v>15</v>
      </c>
      <c r="C7" s="6" t="s">
        <v>67</v>
      </c>
      <c r="D7" s="4"/>
      <c r="E7" s="6" t="s">
        <v>29</v>
      </c>
      <c r="F7" s="13" t="s">
        <v>14</v>
      </c>
      <c r="G7" s="6" t="s">
        <v>232</v>
      </c>
      <c r="H7" s="6" t="s">
        <v>228</v>
      </c>
      <c r="I7" s="6" t="s">
        <v>29</v>
      </c>
      <c r="J7" s="10" t="s">
        <v>173</v>
      </c>
      <c r="K7" s="6">
        <v>200</v>
      </c>
      <c r="L7" s="6" t="s">
        <v>29</v>
      </c>
      <c r="M7" s="6" t="s">
        <v>180</v>
      </c>
      <c r="N7" s="6">
        <v>2</v>
      </c>
      <c r="O7" s="6" t="s">
        <v>191</v>
      </c>
      <c r="P7" s="6" t="s">
        <v>31</v>
      </c>
      <c r="Q7" s="6" t="s">
        <v>229</v>
      </c>
      <c r="R7" s="6" t="s">
        <v>229</v>
      </c>
      <c r="S7" s="6" t="s">
        <v>229</v>
      </c>
      <c r="T7" s="6" t="s">
        <v>31</v>
      </c>
      <c r="U7" s="6" t="s">
        <v>229</v>
      </c>
      <c r="V7" s="6" t="s">
        <v>229</v>
      </c>
      <c r="W7" s="6" t="s">
        <v>31</v>
      </c>
      <c r="X7" s="6" t="s">
        <v>229</v>
      </c>
      <c r="Y7" s="6" t="s">
        <v>229</v>
      </c>
      <c r="Z7" s="6" t="s">
        <v>31</v>
      </c>
      <c r="AA7" s="6" t="s">
        <v>229</v>
      </c>
      <c r="AB7" s="6" t="s">
        <v>229</v>
      </c>
      <c r="AC7" s="6" t="s">
        <v>31</v>
      </c>
      <c r="AD7" s="6" t="s">
        <v>229</v>
      </c>
      <c r="AE7" s="6" t="s">
        <v>229</v>
      </c>
      <c r="AF7" s="6" t="s">
        <v>31</v>
      </c>
      <c r="AG7" s="6" t="s">
        <v>229</v>
      </c>
      <c r="AH7" s="6" t="s">
        <v>229</v>
      </c>
      <c r="AI7" s="6" t="s">
        <v>31</v>
      </c>
      <c r="AJ7" s="6" t="s">
        <v>229</v>
      </c>
      <c r="AK7" s="6" t="s">
        <v>229</v>
      </c>
      <c r="AL7" s="6" t="s">
        <v>31</v>
      </c>
      <c r="AM7" s="6" t="s">
        <v>229</v>
      </c>
      <c r="AN7" s="6" t="s">
        <v>229</v>
      </c>
      <c r="AO7" s="6" t="s">
        <v>31</v>
      </c>
      <c r="AP7" s="6" t="s">
        <v>229</v>
      </c>
      <c r="AQ7" s="6" t="s">
        <v>229</v>
      </c>
      <c r="AR7" s="6" t="s">
        <v>31</v>
      </c>
      <c r="AS7" s="6" t="s">
        <v>229</v>
      </c>
      <c r="AT7" s="6" t="s">
        <v>229</v>
      </c>
      <c r="AU7" s="6">
        <v>1</v>
      </c>
      <c r="AV7" s="6" t="s">
        <v>230</v>
      </c>
      <c r="AW7" s="6">
        <v>16</v>
      </c>
      <c r="AX7" s="6" t="s">
        <v>231</v>
      </c>
      <c r="AY7" s="6">
        <v>12</v>
      </c>
      <c r="AZ7" s="6" t="s">
        <v>231</v>
      </c>
      <c r="BA7" s="10" t="str">
        <f>'Fertilizer &amp; Pesticide demand'!E7</f>
        <v>No</v>
      </c>
      <c r="BB7" s="10">
        <f>'Fertilizer &amp; Pesticide demand'!F7</f>
        <v>0</v>
      </c>
      <c r="BC7" s="10">
        <f>'Fertilizer &amp; Pesticide demand'!G7</f>
        <v>0</v>
      </c>
      <c r="BD7" s="10" t="str">
        <f>'Fertilizer &amp; Pesticide demand'!H7</f>
        <v>No</v>
      </c>
      <c r="BE7" s="10">
        <f>'Fertilizer &amp; Pesticide demand'!I7</f>
        <v>0</v>
      </c>
      <c r="BF7" s="10">
        <f>'Fertilizer &amp; Pesticide demand'!J7</f>
        <v>0</v>
      </c>
      <c r="BG7" s="10" t="str">
        <f>'Fertilizer &amp; Pesticide demand'!K7</f>
        <v>No</v>
      </c>
      <c r="BH7" s="10">
        <f>'Fertilizer &amp; Pesticide demand'!L7</f>
        <v>0</v>
      </c>
      <c r="BI7" s="10">
        <f>'Fertilizer &amp; Pesticide demand'!M7</f>
        <v>0</v>
      </c>
      <c r="BJ7" s="10" t="str">
        <f>'Fertilizer &amp; Pesticide demand'!N7</f>
        <v>Yes</v>
      </c>
      <c r="BK7" s="10">
        <f>'Fertilizer &amp; Pesticide demand'!O7</f>
        <v>1</v>
      </c>
      <c r="BL7" s="10" t="str">
        <f>'Fertilizer &amp; Pesticide demand'!P7</f>
        <v>Packet</v>
      </c>
    </row>
    <row r="8" spans="1:64" ht="20.100000000000001" customHeight="1" x14ac:dyDescent="0.25">
      <c r="A8" s="6">
        <f t="shared" si="0"/>
        <v>6</v>
      </c>
      <c r="B8" s="13" t="s">
        <v>15</v>
      </c>
      <c r="C8" s="6" t="s">
        <v>108</v>
      </c>
      <c r="D8" s="4"/>
      <c r="E8" s="6" t="s">
        <v>29</v>
      </c>
      <c r="F8" s="13" t="s">
        <v>14</v>
      </c>
      <c r="G8" s="6" t="s">
        <v>232</v>
      </c>
      <c r="H8" s="6" t="s">
        <v>228</v>
      </c>
      <c r="I8" s="6" t="s">
        <v>29</v>
      </c>
      <c r="J8" s="10" t="s">
        <v>173</v>
      </c>
      <c r="K8" s="6">
        <v>0</v>
      </c>
      <c r="L8" s="6" t="s">
        <v>29</v>
      </c>
      <c r="M8" s="6" t="s">
        <v>180</v>
      </c>
      <c r="N8" s="6">
        <v>1.25</v>
      </c>
      <c r="O8" s="6" t="s">
        <v>191</v>
      </c>
      <c r="P8" s="6" t="s">
        <v>31</v>
      </c>
      <c r="Q8" s="6" t="s">
        <v>229</v>
      </c>
      <c r="R8" s="6" t="s">
        <v>229</v>
      </c>
      <c r="S8" s="6" t="s">
        <v>229</v>
      </c>
      <c r="T8" s="6" t="s">
        <v>31</v>
      </c>
      <c r="U8" s="6" t="s">
        <v>229</v>
      </c>
      <c r="V8" s="6" t="s">
        <v>229</v>
      </c>
      <c r="W8" s="6" t="s">
        <v>31</v>
      </c>
      <c r="X8" s="6" t="s">
        <v>229</v>
      </c>
      <c r="Y8" s="6" t="s">
        <v>229</v>
      </c>
      <c r="Z8" s="6" t="s">
        <v>31</v>
      </c>
      <c r="AA8" s="6" t="s">
        <v>229</v>
      </c>
      <c r="AB8" s="6" t="s">
        <v>229</v>
      </c>
      <c r="AC8" s="6" t="s">
        <v>31</v>
      </c>
      <c r="AD8" s="6" t="s">
        <v>229</v>
      </c>
      <c r="AE8" s="6" t="s">
        <v>229</v>
      </c>
      <c r="AF8" s="6" t="s">
        <v>31</v>
      </c>
      <c r="AG8" s="6" t="s">
        <v>229</v>
      </c>
      <c r="AH8" s="6" t="s">
        <v>229</v>
      </c>
      <c r="AI8" s="6" t="s">
        <v>31</v>
      </c>
      <c r="AJ8" s="6" t="s">
        <v>229</v>
      </c>
      <c r="AK8" s="6" t="s">
        <v>229</v>
      </c>
      <c r="AL8" s="6" t="s">
        <v>31</v>
      </c>
      <c r="AM8" s="6" t="s">
        <v>229</v>
      </c>
      <c r="AN8" s="6" t="s">
        <v>229</v>
      </c>
      <c r="AO8" s="6" t="s">
        <v>31</v>
      </c>
      <c r="AP8" s="6" t="s">
        <v>229</v>
      </c>
      <c r="AQ8" s="6" t="s">
        <v>229</v>
      </c>
      <c r="AR8" s="6" t="s">
        <v>31</v>
      </c>
      <c r="AS8" s="6" t="s">
        <v>229</v>
      </c>
      <c r="AT8" s="6" t="s">
        <v>229</v>
      </c>
      <c r="AU8" s="6">
        <v>1.5</v>
      </c>
      <c r="AV8" s="6" t="s">
        <v>230</v>
      </c>
      <c r="AW8" s="6">
        <v>20</v>
      </c>
      <c r="AX8" s="6" t="s">
        <v>231</v>
      </c>
      <c r="AY8" s="6">
        <v>13</v>
      </c>
      <c r="AZ8" s="6" t="s">
        <v>231</v>
      </c>
      <c r="BA8" s="10" t="str">
        <f>'Fertilizer &amp; Pesticide demand'!E8</f>
        <v>No</v>
      </c>
      <c r="BB8" s="10">
        <f>'Fertilizer &amp; Pesticide demand'!F8</f>
        <v>0</v>
      </c>
      <c r="BC8" s="10">
        <f>'Fertilizer &amp; Pesticide demand'!G8</f>
        <v>0</v>
      </c>
      <c r="BD8" s="10" t="str">
        <f>'Fertilizer &amp; Pesticide demand'!H8</f>
        <v>No</v>
      </c>
      <c r="BE8" s="10">
        <f>'Fertilizer &amp; Pesticide demand'!I8</f>
        <v>0</v>
      </c>
      <c r="BF8" s="10">
        <f>'Fertilizer &amp; Pesticide demand'!J8</f>
        <v>0</v>
      </c>
      <c r="BG8" s="10" t="str">
        <f>'Fertilizer &amp; Pesticide demand'!K8</f>
        <v>No</v>
      </c>
      <c r="BH8" s="10">
        <f>'Fertilizer &amp; Pesticide demand'!L8</f>
        <v>0</v>
      </c>
      <c r="BI8" s="10">
        <f>'Fertilizer &amp; Pesticide demand'!M8</f>
        <v>0</v>
      </c>
      <c r="BJ8" s="10" t="str">
        <f>'Fertilizer &amp; Pesticide demand'!N8</f>
        <v>Yes</v>
      </c>
      <c r="BK8" s="10">
        <f>'Fertilizer &amp; Pesticide demand'!O8</f>
        <v>1</v>
      </c>
      <c r="BL8" s="10" t="str">
        <f>'Fertilizer &amp; Pesticide demand'!P8</f>
        <v>Packet</v>
      </c>
    </row>
    <row r="9" spans="1:64" s="14" customFormat="1" ht="20.100000000000001" customHeight="1" x14ac:dyDescent="0.25">
      <c r="A9" s="6">
        <f t="shared" si="0"/>
        <v>7</v>
      </c>
      <c r="B9" s="13" t="s">
        <v>15</v>
      </c>
      <c r="C9" s="6" t="s">
        <v>85</v>
      </c>
      <c r="D9" s="6"/>
      <c r="E9" s="6" t="s">
        <v>29</v>
      </c>
      <c r="F9" s="13" t="s">
        <v>14</v>
      </c>
      <c r="G9" s="6" t="s">
        <v>233</v>
      </c>
      <c r="H9" s="6" t="s">
        <v>228</v>
      </c>
      <c r="I9" s="6" t="s">
        <v>29</v>
      </c>
      <c r="J9" s="10" t="s">
        <v>173</v>
      </c>
      <c r="K9" s="6">
        <v>200</v>
      </c>
      <c r="L9" s="6" t="s">
        <v>29</v>
      </c>
      <c r="M9" s="6" t="s">
        <v>180</v>
      </c>
      <c r="N9" s="6">
        <v>1</v>
      </c>
      <c r="O9" s="6" t="s">
        <v>191</v>
      </c>
      <c r="P9" s="6" t="s">
        <v>31</v>
      </c>
      <c r="Q9" s="6" t="s">
        <v>229</v>
      </c>
      <c r="R9" s="6" t="s">
        <v>229</v>
      </c>
      <c r="S9" s="6" t="s">
        <v>229</v>
      </c>
      <c r="T9" s="6" t="s">
        <v>31</v>
      </c>
      <c r="U9" s="6" t="s">
        <v>229</v>
      </c>
      <c r="V9" s="6" t="s">
        <v>229</v>
      </c>
      <c r="W9" s="6" t="s">
        <v>31</v>
      </c>
      <c r="X9" s="6" t="s">
        <v>229</v>
      </c>
      <c r="Y9" s="6" t="s">
        <v>229</v>
      </c>
      <c r="Z9" s="6" t="s">
        <v>31</v>
      </c>
      <c r="AA9" s="6" t="s">
        <v>229</v>
      </c>
      <c r="AB9" s="6" t="s">
        <v>229</v>
      </c>
      <c r="AC9" s="6" t="s">
        <v>31</v>
      </c>
      <c r="AD9" s="6" t="s">
        <v>229</v>
      </c>
      <c r="AE9" s="6" t="s">
        <v>229</v>
      </c>
      <c r="AF9" s="6" t="s">
        <v>31</v>
      </c>
      <c r="AG9" s="6" t="s">
        <v>229</v>
      </c>
      <c r="AH9" s="6" t="s">
        <v>229</v>
      </c>
      <c r="AI9" s="6" t="s">
        <v>31</v>
      </c>
      <c r="AJ9" s="6" t="s">
        <v>229</v>
      </c>
      <c r="AK9" s="6" t="s">
        <v>229</v>
      </c>
      <c r="AL9" s="6" t="s">
        <v>31</v>
      </c>
      <c r="AM9" s="6" t="s">
        <v>229</v>
      </c>
      <c r="AN9" s="6" t="s">
        <v>229</v>
      </c>
      <c r="AO9" s="6" t="s">
        <v>31</v>
      </c>
      <c r="AP9" s="6" t="s">
        <v>229</v>
      </c>
      <c r="AQ9" s="6" t="s">
        <v>229</v>
      </c>
      <c r="AR9" s="6" t="s">
        <v>31</v>
      </c>
      <c r="AS9" s="6" t="s">
        <v>229</v>
      </c>
      <c r="AT9" s="6" t="s">
        <v>229</v>
      </c>
      <c r="AU9" s="6">
        <v>1</v>
      </c>
      <c r="AV9" s="6" t="s">
        <v>230</v>
      </c>
      <c r="AW9" s="6">
        <v>16</v>
      </c>
      <c r="AX9" s="6" t="s">
        <v>231</v>
      </c>
      <c r="AY9" s="6">
        <v>5</v>
      </c>
      <c r="AZ9" s="6" t="s">
        <v>231</v>
      </c>
      <c r="BA9" s="10" t="str">
        <f>'Fertilizer &amp; Pesticide demand'!E9</f>
        <v>No</v>
      </c>
      <c r="BB9" s="10">
        <f>'Fertilizer &amp; Pesticide demand'!F9</f>
        <v>0</v>
      </c>
      <c r="BC9" s="10">
        <f>'Fertilizer &amp; Pesticide demand'!G9</f>
        <v>0</v>
      </c>
      <c r="BD9" s="10" t="str">
        <f>'Fertilizer &amp; Pesticide demand'!H9</f>
        <v>No</v>
      </c>
      <c r="BE9" s="10">
        <f>'Fertilizer &amp; Pesticide demand'!I9</f>
        <v>0</v>
      </c>
      <c r="BF9" s="10">
        <f>'Fertilizer &amp; Pesticide demand'!J9</f>
        <v>0</v>
      </c>
      <c r="BG9" s="10" t="str">
        <f>'Fertilizer &amp; Pesticide demand'!K9</f>
        <v>No</v>
      </c>
      <c r="BH9" s="10">
        <f>'Fertilizer &amp; Pesticide demand'!L9</f>
        <v>0</v>
      </c>
      <c r="BI9" s="10">
        <f>'Fertilizer &amp; Pesticide demand'!M9</f>
        <v>0</v>
      </c>
      <c r="BJ9" s="10" t="str">
        <f>'Fertilizer &amp; Pesticide demand'!N9</f>
        <v>Yes</v>
      </c>
      <c r="BK9" s="10">
        <f>'Fertilizer &amp; Pesticide demand'!O9</f>
        <v>1</v>
      </c>
      <c r="BL9" s="10" t="str">
        <f>'Fertilizer &amp; Pesticide demand'!P9</f>
        <v>Packet</v>
      </c>
    </row>
    <row r="10" spans="1:64" s="5" customFormat="1" ht="20.100000000000001" customHeight="1" x14ac:dyDescent="0.25">
      <c r="A10" s="6">
        <f t="shared" si="0"/>
        <v>8</v>
      </c>
      <c r="B10" s="13" t="s">
        <v>15</v>
      </c>
      <c r="C10" s="6" t="s">
        <v>78</v>
      </c>
      <c r="D10" s="6"/>
      <c r="E10" s="6" t="s">
        <v>29</v>
      </c>
      <c r="F10" s="13" t="s">
        <v>14</v>
      </c>
      <c r="G10" s="6" t="s">
        <v>234</v>
      </c>
      <c r="H10" s="6" t="s">
        <v>228</v>
      </c>
      <c r="I10" s="6" t="s">
        <v>29</v>
      </c>
      <c r="J10" s="10" t="s">
        <v>173</v>
      </c>
      <c r="K10" s="6">
        <v>200</v>
      </c>
      <c r="L10" s="6" t="s">
        <v>29</v>
      </c>
      <c r="M10" s="6" t="s">
        <v>180</v>
      </c>
      <c r="N10" s="6">
        <v>1</v>
      </c>
      <c r="O10" s="6" t="s">
        <v>191</v>
      </c>
      <c r="P10" s="6" t="s">
        <v>31</v>
      </c>
      <c r="Q10" s="6" t="s">
        <v>229</v>
      </c>
      <c r="R10" s="6" t="s">
        <v>229</v>
      </c>
      <c r="S10" s="6" t="s">
        <v>229</v>
      </c>
      <c r="T10" s="6" t="s">
        <v>31</v>
      </c>
      <c r="U10" s="6" t="s">
        <v>229</v>
      </c>
      <c r="V10" s="6" t="s">
        <v>229</v>
      </c>
      <c r="W10" s="6" t="s">
        <v>31</v>
      </c>
      <c r="X10" s="6" t="s">
        <v>229</v>
      </c>
      <c r="Y10" s="6" t="s">
        <v>229</v>
      </c>
      <c r="Z10" s="6" t="s">
        <v>31</v>
      </c>
      <c r="AA10" s="6" t="s">
        <v>229</v>
      </c>
      <c r="AB10" s="6" t="s">
        <v>229</v>
      </c>
      <c r="AC10" s="6" t="s">
        <v>31</v>
      </c>
      <c r="AD10" s="6" t="s">
        <v>229</v>
      </c>
      <c r="AE10" s="6" t="s">
        <v>229</v>
      </c>
      <c r="AF10" s="6" t="s">
        <v>31</v>
      </c>
      <c r="AG10" s="6" t="s">
        <v>229</v>
      </c>
      <c r="AH10" s="6" t="s">
        <v>229</v>
      </c>
      <c r="AI10" s="6" t="s">
        <v>31</v>
      </c>
      <c r="AJ10" s="6" t="s">
        <v>229</v>
      </c>
      <c r="AK10" s="6" t="s">
        <v>229</v>
      </c>
      <c r="AL10" s="6" t="s">
        <v>31</v>
      </c>
      <c r="AM10" s="6" t="s">
        <v>229</v>
      </c>
      <c r="AN10" s="6" t="s">
        <v>229</v>
      </c>
      <c r="AO10" s="6" t="s">
        <v>31</v>
      </c>
      <c r="AP10" s="6" t="s">
        <v>229</v>
      </c>
      <c r="AQ10" s="6" t="s">
        <v>229</v>
      </c>
      <c r="AR10" s="6" t="s">
        <v>31</v>
      </c>
      <c r="AS10" s="6" t="s">
        <v>229</v>
      </c>
      <c r="AT10" s="6" t="s">
        <v>229</v>
      </c>
      <c r="AU10" s="6">
        <v>1.25</v>
      </c>
      <c r="AV10" s="6" t="s">
        <v>230</v>
      </c>
      <c r="AW10" s="6">
        <v>20</v>
      </c>
      <c r="AX10" s="6" t="s">
        <v>231</v>
      </c>
      <c r="AY10" s="6">
        <v>15</v>
      </c>
      <c r="AZ10" s="6" t="s">
        <v>231</v>
      </c>
      <c r="BA10" s="23" t="str">
        <f>'Fertilizer &amp; Pesticide demand'!E10</f>
        <v>No</v>
      </c>
      <c r="BB10" s="10">
        <f>'Fertilizer &amp; Pesticide demand'!F10</f>
        <v>0</v>
      </c>
      <c r="BC10" s="10">
        <f>'Fertilizer &amp; Pesticide demand'!G10</f>
        <v>0</v>
      </c>
      <c r="BD10" s="23" t="str">
        <f>'Fertilizer &amp; Pesticide demand'!H10</f>
        <v>Yes</v>
      </c>
      <c r="BE10" s="10">
        <f>'Fertilizer &amp; Pesticide demand'!I10</f>
        <v>0</v>
      </c>
      <c r="BF10" s="10">
        <f>'Fertilizer &amp; Pesticide demand'!J10</f>
        <v>0</v>
      </c>
      <c r="BG10" s="10" t="str">
        <f>'Fertilizer &amp; Pesticide demand'!K10</f>
        <v>Yes</v>
      </c>
      <c r="BH10" s="10">
        <f>'Fertilizer &amp; Pesticide demand'!L10</f>
        <v>0</v>
      </c>
      <c r="BI10" s="10">
        <f>'Fertilizer &amp; Pesticide demand'!M10</f>
        <v>0</v>
      </c>
      <c r="BJ10" s="10" t="str">
        <f>'Fertilizer &amp; Pesticide demand'!N10</f>
        <v>Yes</v>
      </c>
      <c r="BK10" s="10">
        <f>'Fertilizer &amp; Pesticide demand'!O10</f>
        <v>1</v>
      </c>
      <c r="BL10" s="10" t="str">
        <f>'Fertilizer &amp; Pesticide demand'!P10</f>
        <v>Packet</v>
      </c>
    </row>
    <row r="11" spans="1:64" ht="20.100000000000001" customHeight="1" x14ac:dyDescent="0.25">
      <c r="A11" s="6">
        <f t="shared" si="0"/>
        <v>9</v>
      </c>
      <c r="B11" s="13" t="s">
        <v>15</v>
      </c>
      <c r="C11" s="6" t="s">
        <v>65</v>
      </c>
      <c r="D11" s="4"/>
      <c r="E11" s="6" t="s">
        <v>29</v>
      </c>
      <c r="F11" s="13" t="s">
        <v>14</v>
      </c>
      <c r="G11" s="6" t="s">
        <v>234</v>
      </c>
      <c r="H11" s="6" t="s">
        <v>228</v>
      </c>
      <c r="I11" s="6" t="s">
        <v>29</v>
      </c>
      <c r="J11" s="10" t="s">
        <v>173</v>
      </c>
      <c r="K11" s="6">
        <v>200</v>
      </c>
      <c r="L11" s="6" t="s">
        <v>29</v>
      </c>
      <c r="M11" s="6" t="s">
        <v>180</v>
      </c>
      <c r="N11" s="4">
        <v>2</v>
      </c>
      <c r="O11" s="6" t="s">
        <v>191</v>
      </c>
      <c r="P11" s="6" t="s">
        <v>31</v>
      </c>
      <c r="Q11" s="6" t="s">
        <v>229</v>
      </c>
      <c r="R11" s="6" t="s">
        <v>229</v>
      </c>
      <c r="S11" s="6" t="s">
        <v>229</v>
      </c>
      <c r="T11" s="6" t="s">
        <v>31</v>
      </c>
      <c r="U11" s="6" t="s">
        <v>229</v>
      </c>
      <c r="V11" s="6" t="s">
        <v>229</v>
      </c>
      <c r="W11" s="6" t="s">
        <v>29</v>
      </c>
      <c r="X11" s="21">
        <v>1</v>
      </c>
      <c r="Y11" s="22" t="s">
        <v>191</v>
      </c>
      <c r="Z11" s="6" t="s">
        <v>31</v>
      </c>
      <c r="AA11" s="6" t="s">
        <v>229</v>
      </c>
      <c r="AB11" s="6" t="s">
        <v>229</v>
      </c>
      <c r="AC11" s="6" t="s">
        <v>31</v>
      </c>
      <c r="AD11" s="6" t="s">
        <v>229</v>
      </c>
      <c r="AE11" s="6" t="s">
        <v>229</v>
      </c>
      <c r="AF11" s="6" t="s">
        <v>31</v>
      </c>
      <c r="AG11" s="6" t="s">
        <v>229</v>
      </c>
      <c r="AH11" s="6" t="s">
        <v>229</v>
      </c>
      <c r="AI11" s="6" t="s">
        <v>29</v>
      </c>
      <c r="AJ11" s="21">
        <v>1</v>
      </c>
      <c r="AK11" s="21" t="s">
        <v>191</v>
      </c>
      <c r="AL11" s="6" t="s">
        <v>31</v>
      </c>
      <c r="AM11" s="6" t="s">
        <v>229</v>
      </c>
      <c r="AN11" s="6" t="s">
        <v>229</v>
      </c>
      <c r="AO11" s="6" t="s">
        <v>31</v>
      </c>
      <c r="AP11" s="6" t="s">
        <v>229</v>
      </c>
      <c r="AQ11" s="6" t="s">
        <v>229</v>
      </c>
      <c r="AR11" s="6" t="s">
        <v>31</v>
      </c>
      <c r="AS11" s="6" t="s">
        <v>229</v>
      </c>
      <c r="AT11" s="6" t="s">
        <v>229</v>
      </c>
      <c r="AU11" s="6">
        <v>1</v>
      </c>
      <c r="AV11" s="6" t="s">
        <v>230</v>
      </c>
      <c r="AW11" s="6">
        <v>20</v>
      </c>
      <c r="AX11" s="6" t="s">
        <v>231</v>
      </c>
      <c r="AY11" s="6">
        <v>10</v>
      </c>
      <c r="AZ11" s="6" t="s">
        <v>231</v>
      </c>
      <c r="BA11" s="23" t="str">
        <f>'Fertilizer &amp; Pesticide demand'!E11</f>
        <v>Yes</v>
      </c>
      <c r="BB11" s="10">
        <f>'Fertilizer &amp; Pesticide demand'!F11</f>
        <v>0</v>
      </c>
      <c r="BC11" s="10">
        <f>'Fertilizer &amp; Pesticide demand'!G11</f>
        <v>0</v>
      </c>
      <c r="BD11" s="23" t="str">
        <f>'Fertilizer &amp; Pesticide demand'!H11</f>
        <v>Yes</v>
      </c>
      <c r="BE11" s="10">
        <f>'Fertilizer &amp; Pesticide demand'!I11</f>
        <v>0</v>
      </c>
      <c r="BF11" s="10">
        <f>'Fertilizer &amp; Pesticide demand'!J11</f>
        <v>0</v>
      </c>
      <c r="BG11" s="23" t="str">
        <f>'Fertilizer &amp; Pesticide demand'!K11</f>
        <v>Yes</v>
      </c>
      <c r="BH11" s="10">
        <f>'Fertilizer &amp; Pesticide demand'!L11</f>
        <v>0</v>
      </c>
      <c r="BI11" s="10">
        <f>'Fertilizer &amp; Pesticide demand'!M11</f>
        <v>0</v>
      </c>
      <c r="BJ11" s="10" t="str">
        <f>'Fertilizer &amp; Pesticide demand'!N11</f>
        <v>Yes</v>
      </c>
      <c r="BK11" s="10">
        <f>'Fertilizer &amp; Pesticide demand'!O11</f>
        <v>1</v>
      </c>
      <c r="BL11" s="10" t="str">
        <f>'Fertilizer &amp; Pesticide demand'!P11</f>
        <v>Packet</v>
      </c>
    </row>
    <row r="12" spans="1:64" ht="20.100000000000001" customHeight="1" x14ac:dyDescent="0.25">
      <c r="A12" s="6">
        <f t="shared" si="0"/>
        <v>10</v>
      </c>
      <c r="B12" s="13" t="s">
        <v>15</v>
      </c>
      <c r="C12" s="6" t="s">
        <v>121</v>
      </c>
      <c r="D12" s="4"/>
      <c r="E12" s="6" t="s">
        <v>29</v>
      </c>
      <c r="F12" s="13" t="s">
        <v>14</v>
      </c>
      <c r="G12" s="6" t="s">
        <v>234</v>
      </c>
      <c r="H12" s="6" t="s">
        <v>228</v>
      </c>
      <c r="I12" s="6" t="s">
        <v>29</v>
      </c>
      <c r="J12" s="10" t="s">
        <v>173</v>
      </c>
      <c r="K12" s="6">
        <v>200</v>
      </c>
      <c r="L12" s="6" t="s">
        <v>29</v>
      </c>
      <c r="M12" s="6" t="s">
        <v>180</v>
      </c>
      <c r="N12" s="6">
        <v>1</v>
      </c>
      <c r="O12" s="6" t="s">
        <v>191</v>
      </c>
      <c r="P12" s="6" t="s">
        <v>31</v>
      </c>
      <c r="Q12" s="6" t="s">
        <v>229</v>
      </c>
      <c r="R12" s="6" t="s">
        <v>229</v>
      </c>
      <c r="S12" s="6" t="s">
        <v>229</v>
      </c>
      <c r="T12" s="6" t="s">
        <v>31</v>
      </c>
      <c r="U12" s="6" t="s">
        <v>229</v>
      </c>
      <c r="V12" s="6" t="s">
        <v>229</v>
      </c>
      <c r="W12" s="6" t="s">
        <v>31</v>
      </c>
      <c r="X12" s="6" t="s">
        <v>229</v>
      </c>
      <c r="Y12" s="6" t="s">
        <v>229</v>
      </c>
      <c r="Z12" s="6" t="s">
        <v>31</v>
      </c>
      <c r="AA12" s="6" t="s">
        <v>229</v>
      </c>
      <c r="AB12" s="6" t="s">
        <v>229</v>
      </c>
      <c r="AC12" s="6" t="s">
        <v>31</v>
      </c>
      <c r="AD12" s="6" t="s">
        <v>229</v>
      </c>
      <c r="AE12" s="6" t="s">
        <v>229</v>
      </c>
      <c r="AF12" s="6" t="s">
        <v>31</v>
      </c>
      <c r="AG12" s="6" t="s">
        <v>229</v>
      </c>
      <c r="AH12" s="6" t="s">
        <v>229</v>
      </c>
      <c r="AI12" s="6" t="s">
        <v>31</v>
      </c>
      <c r="AJ12" s="6" t="s">
        <v>229</v>
      </c>
      <c r="AK12" s="6" t="s">
        <v>229</v>
      </c>
      <c r="AL12" s="6" t="s">
        <v>31</v>
      </c>
      <c r="AM12" s="6" t="s">
        <v>229</v>
      </c>
      <c r="AN12" s="6" t="s">
        <v>229</v>
      </c>
      <c r="AO12" s="6" t="s">
        <v>31</v>
      </c>
      <c r="AP12" s="6" t="s">
        <v>229</v>
      </c>
      <c r="AQ12" s="6" t="s">
        <v>229</v>
      </c>
      <c r="AR12" s="6" t="s">
        <v>31</v>
      </c>
      <c r="AS12" s="6" t="s">
        <v>229</v>
      </c>
      <c r="AT12" s="6" t="s">
        <v>229</v>
      </c>
      <c r="AU12" s="6">
        <v>0.5</v>
      </c>
      <c r="AV12" s="6" t="s">
        <v>230</v>
      </c>
      <c r="AW12" s="6">
        <v>10</v>
      </c>
      <c r="AX12" s="6" t="s">
        <v>231</v>
      </c>
      <c r="AY12" s="6">
        <v>5</v>
      </c>
      <c r="AZ12" s="6" t="s">
        <v>231</v>
      </c>
      <c r="BA12" s="10" t="str">
        <f>'Fertilizer &amp; Pesticide demand'!E12</f>
        <v>No</v>
      </c>
      <c r="BB12" s="10">
        <f>'Fertilizer &amp; Pesticide demand'!F12</f>
        <v>0</v>
      </c>
      <c r="BC12" s="10">
        <f>'Fertilizer &amp; Pesticide demand'!G12</f>
        <v>0</v>
      </c>
      <c r="BD12" s="10" t="str">
        <f>'Fertilizer &amp; Pesticide demand'!H12</f>
        <v>No</v>
      </c>
      <c r="BE12" s="10">
        <f>'Fertilizer &amp; Pesticide demand'!I12</f>
        <v>0</v>
      </c>
      <c r="BF12" s="10">
        <f>'Fertilizer &amp; Pesticide demand'!J12</f>
        <v>0</v>
      </c>
      <c r="BG12" s="10" t="str">
        <f>'Fertilizer &amp; Pesticide demand'!K12</f>
        <v>No</v>
      </c>
      <c r="BH12" s="10">
        <f>'Fertilizer &amp; Pesticide demand'!L12</f>
        <v>0</v>
      </c>
      <c r="BI12" s="10">
        <f>'Fertilizer &amp; Pesticide demand'!M12</f>
        <v>0</v>
      </c>
      <c r="BJ12" s="10" t="str">
        <f>'Fertilizer &amp; Pesticide demand'!N12</f>
        <v>Yes</v>
      </c>
      <c r="BK12" s="10">
        <f>'Fertilizer &amp; Pesticide demand'!O12</f>
        <v>1</v>
      </c>
      <c r="BL12" s="10" t="str">
        <f>'Fertilizer &amp; Pesticide demand'!P12</f>
        <v>Packet</v>
      </c>
    </row>
    <row r="13" spans="1:64" ht="20.100000000000001" customHeight="1" x14ac:dyDescent="0.25">
      <c r="A13" s="6">
        <f t="shared" si="0"/>
        <v>11</v>
      </c>
      <c r="B13" s="13" t="s">
        <v>15</v>
      </c>
      <c r="C13" s="6" t="s">
        <v>69</v>
      </c>
      <c r="D13" s="4"/>
      <c r="E13" s="6" t="s">
        <v>29</v>
      </c>
      <c r="F13" s="13" t="s">
        <v>14</v>
      </c>
      <c r="G13" s="6" t="s">
        <v>235</v>
      </c>
      <c r="H13" s="6" t="s">
        <v>228</v>
      </c>
      <c r="I13" s="6" t="s">
        <v>29</v>
      </c>
      <c r="J13" s="10" t="s">
        <v>173</v>
      </c>
      <c r="K13" s="6">
        <v>200</v>
      </c>
      <c r="L13" s="6" t="s">
        <v>29</v>
      </c>
      <c r="M13" s="6" t="s">
        <v>180</v>
      </c>
      <c r="N13" s="6">
        <v>1</v>
      </c>
      <c r="O13" s="6" t="s">
        <v>191</v>
      </c>
      <c r="P13" s="6" t="s">
        <v>31</v>
      </c>
      <c r="Q13" s="6" t="s">
        <v>229</v>
      </c>
      <c r="R13" s="6" t="s">
        <v>229</v>
      </c>
      <c r="S13" s="6" t="s">
        <v>229</v>
      </c>
      <c r="T13" s="6" t="s">
        <v>31</v>
      </c>
      <c r="U13" s="6" t="s">
        <v>229</v>
      </c>
      <c r="V13" s="6" t="s">
        <v>229</v>
      </c>
      <c r="W13" s="6" t="s">
        <v>29</v>
      </c>
      <c r="X13" s="21">
        <v>1</v>
      </c>
      <c r="Y13" s="22" t="s">
        <v>191</v>
      </c>
      <c r="Z13" s="6" t="s">
        <v>31</v>
      </c>
      <c r="AA13" s="6" t="s">
        <v>229</v>
      </c>
      <c r="AB13" s="6" t="s">
        <v>229</v>
      </c>
      <c r="AC13" s="6" t="s">
        <v>31</v>
      </c>
      <c r="AD13" s="6" t="s">
        <v>229</v>
      </c>
      <c r="AE13" s="6" t="s">
        <v>229</v>
      </c>
      <c r="AF13" s="6" t="s">
        <v>31</v>
      </c>
      <c r="AG13" s="6" t="s">
        <v>229</v>
      </c>
      <c r="AH13" s="6" t="s">
        <v>229</v>
      </c>
      <c r="AI13" s="6" t="s">
        <v>29</v>
      </c>
      <c r="AJ13" s="21">
        <v>1</v>
      </c>
      <c r="AK13" s="21" t="s">
        <v>191</v>
      </c>
      <c r="AL13" s="6" t="s">
        <v>31</v>
      </c>
      <c r="AM13" s="6" t="s">
        <v>229</v>
      </c>
      <c r="AN13" s="6" t="s">
        <v>229</v>
      </c>
      <c r="AO13" s="6" t="s">
        <v>31</v>
      </c>
      <c r="AP13" s="6" t="s">
        <v>229</v>
      </c>
      <c r="AQ13" s="6" t="s">
        <v>229</v>
      </c>
      <c r="AR13" s="6" t="s">
        <v>31</v>
      </c>
      <c r="AS13" s="6" t="s">
        <v>229</v>
      </c>
      <c r="AT13" s="6" t="s">
        <v>229</v>
      </c>
      <c r="AU13" s="6">
        <v>1</v>
      </c>
      <c r="AV13" s="6" t="s">
        <v>230</v>
      </c>
      <c r="AW13" s="6">
        <v>18</v>
      </c>
      <c r="AX13" s="6" t="s">
        <v>231</v>
      </c>
      <c r="AY13" s="6">
        <v>10</v>
      </c>
      <c r="AZ13" s="6" t="s">
        <v>231</v>
      </c>
      <c r="BA13" s="23" t="str">
        <f>'Fertilizer &amp; Pesticide demand'!E13</f>
        <v>Yes</v>
      </c>
      <c r="BB13" s="10">
        <f>'Fertilizer &amp; Pesticide demand'!F13</f>
        <v>0</v>
      </c>
      <c r="BC13" s="10">
        <f>'Fertilizer &amp; Pesticide demand'!G13</f>
        <v>0</v>
      </c>
      <c r="BD13" s="23" t="str">
        <f>'Fertilizer &amp; Pesticide demand'!H13</f>
        <v>Yes</v>
      </c>
      <c r="BE13" s="10">
        <f>'Fertilizer &amp; Pesticide demand'!I13</f>
        <v>0</v>
      </c>
      <c r="BF13" s="10">
        <f>'Fertilizer &amp; Pesticide demand'!J13</f>
        <v>0</v>
      </c>
      <c r="BG13" s="23" t="str">
        <f>'Fertilizer &amp; Pesticide demand'!K13</f>
        <v>Yes</v>
      </c>
      <c r="BH13" s="10">
        <f>'Fertilizer &amp; Pesticide demand'!L13</f>
        <v>0</v>
      </c>
      <c r="BI13" s="10">
        <f>'Fertilizer &amp; Pesticide demand'!M13</f>
        <v>0</v>
      </c>
      <c r="BJ13" s="10" t="str">
        <f>'Fertilizer &amp; Pesticide demand'!N13</f>
        <v>Yes</v>
      </c>
      <c r="BK13" s="10">
        <f>'Fertilizer &amp; Pesticide demand'!O13</f>
        <v>1</v>
      </c>
      <c r="BL13" s="10" t="str">
        <f>'Fertilizer &amp; Pesticide demand'!P13</f>
        <v>Packet</v>
      </c>
    </row>
    <row r="14" spans="1:64" ht="20.100000000000001" customHeight="1" x14ac:dyDescent="0.25">
      <c r="A14" s="6">
        <f t="shared" si="0"/>
        <v>12</v>
      </c>
      <c r="B14" s="13" t="s">
        <v>15</v>
      </c>
      <c r="C14" s="6" t="s">
        <v>94</v>
      </c>
      <c r="D14" s="6"/>
      <c r="E14" s="6" t="s">
        <v>29</v>
      </c>
      <c r="F14" s="13" t="s">
        <v>14</v>
      </c>
      <c r="G14" s="6" t="s">
        <v>233</v>
      </c>
      <c r="H14" s="6" t="s">
        <v>228</v>
      </c>
      <c r="I14" s="6" t="s">
        <v>29</v>
      </c>
      <c r="J14" s="10" t="s">
        <v>173</v>
      </c>
      <c r="K14" s="6">
        <v>200</v>
      </c>
      <c r="L14" s="6" t="s">
        <v>29</v>
      </c>
      <c r="M14" s="6" t="s">
        <v>180</v>
      </c>
      <c r="N14" s="6">
        <v>10</v>
      </c>
      <c r="O14" s="6" t="s">
        <v>190</v>
      </c>
      <c r="P14" s="6" t="s">
        <v>31</v>
      </c>
      <c r="Q14" s="6" t="s">
        <v>229</v>
      </c>
      <c r="R14" s="6" t="s">
        <v>229</v>
      </c>
      <c r="S14" s="6" t="s">
        <v>229</v>
      </c>
      <c r="T14" s="6" t="s">
        <v>29</v>
      </c>
      <c r="U14" s="21">
        <v>2</v>
      </c>
      <c r="V14" s="21" t="s">
        <v>190</v>
      </c>
      <c r="W14" s="6" t="s">
        <v>29</v>
      </c>
      <c r="X14" s="21">
        <v>1</v>
      </c>
      <c r="Y14" s="22" t="s">
        <v>191</v>
      </c>
      <c r="Z14" s="6" t="s">
        <v>31</v>
      </c>
      <c r="AA14" s="6" t="s">
        <v>229</v>
      </c>
      <c r="AB14" s="6" t="s">
        <v>229</v>
      </c>
      <c r="AC14" s="6" t="s">
        <v>31</v>
      </c>
      <c r="AD14" s="6" t="s">
        <v>229</v>
      </c>
      <c r="AE14" s="6" t="s">
        <v>229</v>
      </c>
      <c r="AF14" s="6" t="s">
        <v>31</v>
      </c>
      <c r="AG14" s="6" t="s">
        <v>229</v>
      </c>
      <c r="AH14" s="6" t="s">
        <v>229</v>
      </c>
      <c r="AI14" s="6" t="s">
        <v>29</v>
      </c>
      <c r="AJ14" s="6">
        <v>1</v>
      </c>
      <c r="AK14" s="21" t="s">
        <v>191</v>
      </c>
      <c r="AL14" s="6" t="s">
        <v>31</v>
      </c>
      <c r="AM14" s="6" t="s">
        <v>229</v>
      </c>
      <c r="AN14" s="6" t="s">
        <v>229</v>
      </c>
      <c r="AO14" s="6" t="s">
        <v>31</v>
      </c>
      <c r="AP14" s="6" t="s">
        <v>229</v>
      </c>
      <c r="AQ14" s="6" t="s">
        <v>229</v>
      </c>
      <c r="AR14" s="6" t="s">
        <v>31</v>
      </c>
      <c r="AS14" s="6" t="s">
        <v>229</v>
      </c>
      <c r="AT14" s="6" t="s">
        <v>229</v>
      </c>
      <c r="AU14" s="6">
        <v>1</v>
      </c>
      <c r="AV14" s="6" t="s">
        <v>230</v>
      </c>
      <c r="AW14" s="6">
        <v>16</v>
      </c>
      <c r="AX14" s="6" t="s">
        <v>231</v>
      </c>
      <c r="AY14" s="6">
        <v>5</v>
      </c>
      <c r="AZ14" s="6" t="s">
        <v>231</v>
      </c>
      <c r="BA14" s="23" t="str">
        <f>'Fertilizer &amp; Pesticide demand'!E14</f>
        <v>Yes</v>
      </c>
      <c r="BB14" s="23">
        <f>'Fertilizer &amp; Pesticide demand'!F14</f>
        <v>10</v>
      </c>
      <c r="BC14" s="23" t="str">
        <f>'Fertilizer &amp; Pesticide demand'!G14</f>
        <v>KG</v>
      </c>
      <c r="BD14" s="23" t="str">
        <f>'Fertilizer &amp; Pesticide demand'!H14</f>
        <v>Yes</v>
      </c>
      <c r="BE14" s="23">
        <f>'Fertilizer &amp; Pesticide demand'!I14</f>
        <v>10</v>
      </c>
      <c r="BF14" s="23" t="str">
        <f>'Fertilizer &amp; Pesticide demand'!J14</f>
        <v>KG</v>
      </c>
      <c r="BG14" s="10" t="str">
        <f>'Fertilizer &amp; Pesticide demand'!K14</f>
        <v>No</v>
      </c>
      <c r="BH14" s="10">
        <f>'Fertilizer &amp; Pesticide demand'!L14</f>
        <v>0</v>
      </c>
      <c r="BI14" s="10">
        <f>'Fertilizer &amp; Pesticide demand'!M14</f>
        <v>0</v>
      </c>
      <c r="BJ14" s="10" t="str">
        <f>'Fertilizer &amp; Pesticide demand'!N14</f>
        <v>Yes</v>
      </c>
      <c r="BK14" s="10">
        <f>'Fertilizer &amp; Pesticide demand'!O14</f>
        <v>1</v>
      </c>
      <c r="BL14" s="10" t="str">
        <f>'Fertilizer &amp; Pesticide demand'!P14</f>
        <v>Packet</v>
      </c>
    </row>
    <row r="15" spans="1:64" ht="20.100000000000001" customHeight="1" x14ac:dyDescent="0.25">
      <c r="A15" s="6">
        <f t="shared" si="0"/>
        <v>13</v>
      </c>
      <c r="B15" s="13" t="s">
        <v>15</v>
      </c>
      <c r="C15" s="6" t="s">
        <v>56</v>
      </c>
      <c r="D15" s="4"/>
      <c r="E15" s="6" t="s">
        <v>29</v>
      </c>
      <c r="F15" s="13" t="s">
        <v>14</v>
      </c>
      <c r="G15" s="6" t="s">
        <v>233</v>
      </c>
      <c r="H15" s="6" t="s">
        <v>228</v>
      </c>
      <c r="I15" s="6" t="s">
        <v>29</v>
      </c>
      <c r="J15" s="10" t="s">
        <v>173</v>
      </c>
      <c r="K15" s="6">
        <v>200</v>
      </c>
      <c r="L15" s="6" t="s">
        <v>29</v>
      </c>
      <c r="M15" s="6" t="s">
        <v>180</v>
      </c>
      <c r="N15" s="6">
        <v>5</v>
      </c>
      <c r="O15" s="6" t="s">
        <v>190</v>
      </c>
      <c r="P15" s="6" t="s">
        <v>31</v>
      </c>
      <c r="Q15" s="6" t="s">
        <v>229</v>
      </c>
      <c r="R15" s="6" t="s">
        <v>229</v>
      </c>
      <c r="S15" s="6" t="s">
        <v>229</v>
      </c>
      <c r="T15" s="6" t="s">
        <v>31</v>
      </c>
      <c r="U15" s="6" t="s">
        <v>229</v>
      </c>
      <c r="V15" s="6" t="s">
        <v>229</v>
      </c>
      <c r="W15" s="6" t="s">
        <v>31</v>
      </c>
      <c r="X15" s="6" t="s">
        <v>229</v>
      </c>
      <c r="Y15" s="6" t="s">
        <v>229</v>
      </c>
      <c r="Z15" s="6" t="s">
        <v>31</v>
      </c>
      <c r="AA15" s="6" t="s">
        <v>229</v>
      </c>
      <c r="AB15" s="6" t="s">
        <v>229</v>
      </c>
      <c r="AC15" s="6" t="s">
        <v>31</v>
      </c>
      <c r="AD15" s="6" t="s">
        <v>229</v>
      </c>
      <c r="AE15" s="6" t="s">
        <v>229</v>
      </c>
      <c r="AF15" s="6" t="s">
        <v>31</v>
      </c>
      <c r="AG15" s="6" t="s">
        <v>229</v>
      </c>
      <c r="AH15" s="6" t="s">
        <v>229</v>
      </c>
      <c r="AI15" s="6" t="s">
        <v>31</v>
      </c>
      <c r="AJ15" s="6" t="s">
        <v>229</v>
      </c>
      <c r="AK15" s="6" t="s">
        <v>229</v>
      </c>
      <c r="AL15" s="6" t="s">
        <v>31</v>
      </c>
      <c r="AM15" s="6" t="s">
        <v>229</v>
      </c>
      <c r="AN15" s="6" t="s">
        <v>229</v>
      </c>
      <c r="AO15" s="6" t="s">
        <v>31</v>
      </c>
      <c r="AP15" s="6" t="s">
        <v>229</v>
      </c>
      <c r="AQ15" s="6" t="s">
        <v>229</v>
      </c>
      <c r="AR15" s="6" t="s">
        <v>31</v>
      </c>
      <c r="AS15" s="6" t="s">
        <v>229</v>
      </c>
      <c r="AT15" s="6" t="s">
        <v>229</v>
      </c>
      <c r="AU15" s="6">
        <v>0.5</v>
      </c>
      <c r="AV15" s="6" t="s">
        <v>230</v>
      </c>
      <c r="AW15" s="6">
        <v>10</v>
      </c>
      <c r="AX15" s="6" t="s">
        <v>231</v>
      </c>
      <c r="AY15" s="6">
        <v>3</v>
      </c>
      <c r="AZ15" s="6" t="s">
        <v>231</v>
      </c>
      <c r="BA15" s="10" t="str">
        <f>'Fertilizer &amp; Pesticide demand'!E15</f>
        <v>No</v>
      </c>
      <c r="BB15" s="10">
        <f>'Fertilizer &amp; Pesticide demand'!F15</f>
        <v>0</v>
      </c>
      <c r="BC15" s="10">
        <f>'Fertilizer &amp; Pesticide demand'!G15</f>
        <v>0</v>
      </c>
      <c r="BD15" s="10" t="str">
        <f>'Fertilizer &amp; Pesticide demand'!H15</f>
        <v>No</v>
      </c>
      <c r="BE15" s="10">
        <f>'Fertilizer &amp; Pesticide demand'!I15</f>
        <v>0</v>
      </c>
      <c r="BF15" s="10">
        <f>'Fertilizer &amp; Pesticide demand'!J15</f>
        <v>0</v>
      </c>
      <c r="BG15" s="10" t="str">
        <f>'Fertilizer &amp; Pesticide demand'!K15</f>
        <v>No</v>
      </c>
      <c r="BH15" s="10">
        <f>'Fertilizer &amp; Pesticide demand'!L15</f>
        <v>0</v>
      </c>
      <c r="BI15" s="10">
        <f>'Fertilizer &amp; Pesticide demand'!M15</f>
        <v>0</v>
      </c>
      <c r="BJ15" s="10" t="str">
        <f>'Fertilizer &amp; Pesticide demand'!N15</f>
        <v>Yes</v>
      </c>
      <c r="BK15" s="10">
        <f>'Fertilizer &amp; Pesticide demand'!O15</f>
        <v>1</v>
      </c>
      <c r="BL15" s="10" t="str">
        <f>'Fertilizer &amp; Pesticide demand'!P15</f>
        <v>Packet</v>
      </c>
    </row>
    <row r="16" spans="1:64" ht="20.100000000000001" customHeight="1" x14ac:dyDescent="0.25">
      <c r="A16" s="6">
        <f t="shared" si="0"/>
        <v>14</v>
      </c>
      <c r="B16" s="13" t="s">
        <v>15</v>
      </c>
      <c r="C16" s="6" t="s">
        <v>37</v>
      </c>
      <c r="D16" s="6"/>
      <c r="E16" s="6" t="s">
        <v>29</v>
      </c>
      <c r="F16" s="13" t="s">
        <v>14</v>
      </c>
      <c r="G16" s="6" t="s">
        <v>233</v>
      </c>
      <c r="H16" s="6" t="s">
        <v>228</v>
      </c>
      <c r="I16" s="6" t="s">
        <v>29</v>
      </c>
      <c r="J16" s="10" t="s">
        <v>173</v>
      </c>
      <c r="K16" s="6">
        <v>200</v>
      </c>
      <c r="L16" s="6" t="s">
        <v>29</v>
      </c>
      <c r="M16" s="6" t="s">
        <v>178</v>
      </c>
      <c r="N16" s="6">
        <v>25</v>
      </c>
      <c r="O16" s="6" t="s">
        <v>190</v>
      </c>
      <c r="P16" s="6" t="s">
        <v>31</v>
      </c>
      <c r="Q16" s="6" t="s">
        <v>229</v>
      </c>
      <c r="R16" s="6" t="s">
        <v>229</v>
      </c>
      <c r="S16" s="6" t="s">
        <v>229</v>
      </c>
      <c r="T16" s="6" t="s">
        <v>31</v>
      </c>
      <c r="U16" s="6" t="s">
        <v>229</v>
      </c>
      <c r="V16" s="6" t="s">
        <v>229</v>
      </c>
      <c r="W16" s="6" t="s">
        <v>31</v>
      </c>
      <c r="X16" s="6" t="s">
        <v>229</v>
      </c>
      <c r="Y16" s="6" t="s">
        <v>229</v>
      </c>
      <c r="Z16" s="6" t="s">
        <v>31</v>
      </c>
      <c r="AA16" s="6" t="s">
        <v>229</v>
      </c>
      <c r="AB16" s="6" t="s">
        <v>229</v>
      </c>
      <c r="AC16" s="6" t="s">
        <v>31</v>
      </c>
      <c r="AD16" s="6" t="s">
        <v>229</v>
      </c>
      <c r="AE16" s="6" t="s">
        <v>229</v>
      </c>
      <c r="AF16" s="6" t="s">
        <v>31</v>
      </c>
      <c r="AG16" s="6" t="s">
        <v>229</v>
      </c>
      <c r="AH16" s="6" t="s">
        <v>229</v>
      </c>
      <c r="AI16" s="6" t="s">
        <v>29</v>
      </c>
      <c r="AJ16" s="21">
        <v>1</v>
      </c>
      <c r="AK16" s="21" t="s">
        <v>191</v>
      </c>
      <c r="AL16" s="6" t="s">
        <v>31</v>
      </c>
      <c r="AM16" s="6" t="s">
        <v>229</v>
      </c>
      <c r="AN16" s="6" t="s">
        <v>229</v>
      </c>
      <c r="AO16" s="6" t="s">
        <v>31</v>
      </c>
      <c r="AP16" s="6" t="s">
        <v>229</v>
      </c>
      <c r="AQ16" s="6" t="s">
        <v>229</v>
      </c>
      <c r="AR16" s="6" t="s">
        <v>31</v>
      </c>
      <c r="AS16" s="6" t="s">
        <v>229</v>
      </c>
      <c r="AT16" s="6" t="s">
        <v>229</v>
      </c>
      <c r="AU16" s="6">
        <v>0.5</v>
      </c>
      <c r="AV16" s="6" t="s">
        <v>230</v>
      </c>
      <c r="AW16" s="6">
        <v>6</v>
      </c>
      <c r="AX16" s="6" t="s">
        <v>231</v>
      </c>
      <c r="AY16" s="6">
        <v>2</v>
      </c>
      <c r="AZ16" s="6" t="s">
        <v>231</v>
      </c>
      <c r="BA16" s="23" t="str">
        <f>'Fertilizer &amp; Pesticide demand'!E16</f>
        <v>No</v>
      </c>
      <c r="BB16" s="23">
        <f>'Fertilizer &amp; Pesticide demand'!I16</f>
        <v>1</v>
      </c>
      <c r="BC16" s="23" t="str">
        <f>'Fertilizer &amp; Pesticide demand'!J16</f>
        <v>Packets</v>
      </c>
      <c r="BD16" s="10" t="str">
        <f>'Fertilizer &amp; Pesticide demand'!H16</f>
        <v>Yes</v>
      </c>
      <c r="BE16" s="10" t="e">
        <f>'Fertilizer &amp; Pesticide demand'!#REF!</f>
        <v>#REF!</v>
      </c>
      <c r="BF16" s="10" t="e">
        <f>'Fertilizer &amp; Pesticide demand'!#REF!</f>
        <v>#REF!</v>
      </c>
      <c r="BG16" s="10" t="str">
        <f>'Fertilizer &amp; Pesticide demand'!K16</f>
        <v>Yes</v>
      </c>
      <c r="BH16" s="10">
        <f>'Fertilizer &amp; Pesticide demand'!L16</f>
        <v>0</v>
      </c>
      <c r="BI16" s="10">
        <f>'Fertilizer &amp; Pesticide demand'!M16</f>
        <v>0</v>
      </c>
      <c r="BJ16" s="10" t="str">
        <f>'Fertilizer &amp; Pesticide demand'!N16</f>
        <v>Yes</v>
      </c>
      <c r="BK16" s="10">
        <f>'Fertilizer &amp; Pesticide demand'!O16</f>
        <v>1</v>
      </c>
      <c r="BL16" s="10" t="str">
        <f>'Fertilizer &amp; Pesticide demand'!P16</f>
        <v>Packet</v>
      </c>
    </row>
    <row r="17" spans="1:64" ht="20.100000000000001" customHeight="1" x14ac:dyDescent="0.25">
      <c r="A17" s="6">
        <f t="shared" si="0"/>
        <v>15</v>
      </c>
      <c r="B17" s="13" t="s">
        <v>15</v>
      </c>
      <c r="C17" s="26" t="s">
        <v>93</v>
      </c>
      <c r="D17" s="4"/>
      <c r="E17" s="6" t="s">
        <v>29</v>
      </c>
      <c r="F17" s="13" t="s">
        <v>14</v>
      </c>
      <c r="G17" s="13" t="s">
        <v>227</v>
      </c>
      <c r="H17" s="6" t="s">
        <v>228</v>
      </c>
      <c r="I17" s="6" t="s">
        <v>29</v>
      </c>
      <c r="J17" s="10" t="s">
        <v>173</v>
      </c>
      <c r="K17" s="6">
        <v>200</v>
      </c>
      <c r="L17" s="6" t="s">
        <v>29</v>
      </c>
      <c r="M17" s="6" t="s">
        <v>180</v>
      </c>
      <c r="N17" s="6">
        <v>1</v>
      </c>
      <c r="O17" s="6" t="s">
        <v>191</v>
      </c>
      <c r="P17" s="6" t="s">
        <v>31</v>
      </c>
      <c r="Q17" s="6" t="s">
        <v>229</v>
      </c>
      <c r="R17" s="6" t="s">
        <v>229</v>
      </c>
      <c r="S17" s="6" t="s">
        <v>229</v>
      </c>
      <c r="T17" s="6" t="s">
        <v>31</v>
      </c>
      <c r="U17" s="6" t="s">
        <v>229</v>
      </c>
      <c r="V17" s="6" t="s">
        <v>229</v>
      </c>
      <c r="W17" s="6" t="s">
        <v>31</v>
      </c>
      <c r="X17" s="6" t="s">
        <v>229</v>
      </c>
      <c r="Y17" s="6" t="s">
        <v>229</v>
      </c>
      <c r="Z17" s="6" t="s">
        <v>31</v>
      </c>
      <c r="AA17" s="6" t="s">
        <v>229</v>
      </c>
      <c r="AB17" s="6" t="s">
        <v>229</v>
      </c>
      <c r="AC17" s="6" t="s">
        <v>31</v>
      </c>
      <c r="AD17" s="6" t="s">
        <v>229</v>
      </c>
      <c r="AE17" s="6" t="s">
        <v>229</v>
      </c>
      <c r="AF17" s="6" t="s">
        <v>31</v>
      </c>
      <c r="AG17" s="6" t="s">
        <v>229</v>
      </c>
      <c r="AH17" s="6" t="s">
        <v>229</v>
      </c>
      <c r="AI17" s="6" t="s">
        <v>31</v>
      </c>
      <c r="AJ17" s="6" t="s">
        <v>229</v>
      </c>
      <c r="AK17" s="6" t="s">
        <v>229</v>
      </c>
      <c r="AL17" s="6" t="s">
        <v>31</v>
      </c>
      <c r="AM17" s="6" t="s">
        <v>229</v>
      </c>
      <c r="AN17" s="6" t="s">
        <v>229</v>
      </c>
      <c r="AO17" s="6" t="s">
        <v>31</v>
      </c>
      <c r="AP17" s="6" t="s">
        <v>229</v>
      </c>
      <c r="AQ17" s="6" t="s">
        <v>229</v>
      </c>
      <c r="AR17" s="6" t="s">
        <v>31</v>
      </c>
      <c r="AS17" s="6" t="s">
        <v>229</v>
      </c>
      <c r="AT17" s="6" t="s">
        <v>229</v>
      </c>
      <c r="AU17" s="6">
        <v>1</v>
      </c>
      <c r="AV17" s="6" t="s">
        <v>230</v>
      </c>
      <c r="AW17" s="6">
        <v>14</v>
      </c>
      <c r="AX17" s="6" t="s">
        <v>231</v>
      </c>
      <c r="AY17" s="6">
        <v>4</v>
      </c>
      <c r="AZ17" s="6" t="s">
        <v>231</v>
      </c>
      <c r="BA17" s="23" t="str">
        <f>'Fertilizer &amp; Pesticide demand'!E17</f>
        <v>No</v>
      </c>
      <c r="BB17" s="10">
        <f>'Fertilizer &amp; Pesticide demand'!F17</f>
        <v>0</v>
      </c>
      <c r="BC17" s="10">
        <f>'Fertilizer &amp; Pesticide demand'!G17</f>
        <v>0</v>
      </c>
      <c r="BD17" s="23" t="str">
        <f>'Fertilizer &amp; Pesticide demand'!H17</f>
        <v>Yes</v>
      </c>
      <c r="BE17" s="23">
        <f>'Fertilizer &amp; Pesticide demand'!I17</f>
        <v>50</v>
      </c>
      <c r="BF17" s="23" t="str">
        <f>'Fertilizer &amp; Pesticide demand'!J17</f>
        <v>KG</v>
      </c>
      <c r="BG17" s="10" t="str">
        <f>'Fertilizer &amp; Pesticide demand'!K17</f>
        <v>No</v>
      </c>
      <c r="BH17" s="10">
        <f>'Fertilizer &amp; Pesticide demand'!L17</f>
        <v>0</v>
      </c>
      <c r="BI17" s="10">
        <f>'Fertilizer &amp; Pesticide demand'!M17</f>
        <v>0</v>
      </c>
      <c r="BJ17" s="10" t="str">
        <f>'Fertilizer &amp; Pesticide demand'!N17</f>
        <v>Yes</v>
      </c>
      <c r="BK17" s="10">
        <f>'Fertilizer &amp; Pesticide demand'!O17</f>
        <v>1</v>
      </c>
      <c r="BL17" s="10" t="str">
        <f>'Fertilizer &amp; Pesticide demand'!P17</f>
        <v>Packet</v>
      </c>
    </row>
    <row r="18" spans="1:64" ht="20.100000000000001" customHeight="1" x14ac:dyDescent="0.25">
      <c r="A18" s="6">
        <f t="shared" si="0"/>
        <v>16</v>
      </c>
      <c r="B18" s="13" t="s">
        <v>15</v>
      </c>
      <c r="C18" s="26" t="s">
        <v>120</v>
      </c>
      <c r="D18" s="4"/>
      <c r="E18" s="6" t="s">
        <v>29</v>
      </c>
      <c r="F18" s="13" t="s">
        <v>14</v>
      </c>
      <c r="G18" s="6" t="s">
        <v>232</v>
      </c>
      <c r="H18" s="6" t="s">
        <v>228</v>
      </c>
      <c r="I18" s="6" t="s">
        <v>29</v>
      </c>
      <c r="J18" s="10" t="s">
        <v>173</v>
      </c>
      <c r="K18" s="6">
        <v>200</v>
      </c>
      <c r="L18" s="6" t="s">
        <v>29</v>
      </c>
      <c r="M18" s="6" t="s">
        <v>180</v>
      </c>
      <c r="N18" s="6">
        <v>1</v>
      </c>
      <c r="O18" s="6" t="s">
        <v>191</v>
      </c>
      <c r="P18" s="6" t="s">
        <v>31</v>
      </c>
      <c r="Q18" s="6" t="s">
        <v>229</v>
      </c>
      <c r="R18" s="6" t="s">
        <v>229</v>
      </c>
      <c r="S18" s="6" t="s">
        <v>229</v>
      </c>
      <c r="T18" s="6" t="s">
        <v>31</v>
      </c>
      <c r="U18" s="6" t="s">
        <v>229</v>
      </c>
      <c r="V18" s="6" t="s">
        <v>229</v>
      </c>
      <c r="W18" s="6" t="s">
        <v>29</v>
      </c>
      <c r="X18" s="21">
        <v>1</v>
      </c>
      <c r="Y18" s="22" t="s">
        <v>191</v>
      </c>
      <c r="Z18" s="6" t="s">
        <v>31</v>
      </c>
      <c r="AA18" s="6" t="s">
        <v>229</v>
      </c>
      <c r="AB18" s="6" t="s">
        <v>229</v>
      </c>
      <c r="AC18" s="6" t="s">
        <v>31</v>
      </c>
      <c r="AD18" s="6" t="s">
        <v>229</v>
      </c>
      <c r="AE18" s="6" t="s">
        <v>229</v>
      </c>
      <c r="AF18" s="6" t="s">
        <v>31</v>
      </c>
      <c r="AG18" s="6" t="s">
        <v>229</v>
      </c>
      <c r="AH18" s="6" t="s">
        <v>229</v>
      </c>
      <c r="AI18" s="6" t="s">
        <v>29</v>
      </c>
      <c r="AJ18" s="21">
        <v>1</v>
      </c>
      <c r="AK18" s="21" t="s">
        <v>191</v>
      </c>
      <c r="AL18" s="6" t="s">
        <v>31</v>
      </c>
      <c r="AM18" s="6" t="s">
        <v>229</v>
      </c>
      <c r="AN18" s="6" t="s">
        <v>229</v>
      </c>
      <c r="AO18" s="6" t="s">
        <v>31</v>
      </c>
      <c r="AP18" s="6" t="s">
        <v>229</v>
      </c>
      <c r="AQ18" s="6" t="s">
        <v>229</v>
      </c>
      <c r="AR18" s="6" t="s">
        <v>31</v>
      </c>
      <c r="AS18" s="6" t="s">
        <v>229</v>
      </c>
      <c r="AT18" s="6" t="s">
        <v>229</v>
      </c>
      <c r="AU18" s="6">
        <v>1</v>
      </c>
      <c r="AV18" s="6" t="s">
        <v>230</v>
      </c>
      <c r="AW18" s="6">
        <v>14</v>
      </c>
      <c r="AX18" s="6" t="s">
        <v>231</v>
      </c>
      <c r="AY18" s="6">
        <v>5</v>
      </c>
      <c r="AZ18" s="6" t="s">
        <v>231</v>
      </c>
      <c r="BA18" s="23" t="str">
        <f>'Fertilizer &amp; Pesticide demand'!H18</f>
        <v>Yes</v>
      </c>
      <c r="BB18" s="23">
        <f>'Fertilizer &amp; Pesticide demand'!I18</f>
        <v>1</v>
      </c>
      <c r="BC18" s="23" t="str">
        <f>'Fertilizer &amp; Pesticide demand'!J18</f>
        <v>Packets</v>
      </c>
      <c r="BD18" s="10" t="e">
        <f>'Fertilizer &amp; Pesticide demand'!#REF!</f>
        <v>#REF!</v>
      </c>
      <c r="BE18" s="10" t="e">
        <f>'Fertilizer &amp; Pesticide demand'!#REF!</f>
        <v>#REF!</v>
      </c>
      <c r="BF18" s="10" t="e">
        <f>'Fertilizer &amp; Pesticide demand'!#REF!</f>
        <v>#REF!</v>
      </c>
      <c r="BG18" s="10" t="str">
        <f>'Fertilizer &amp; Pesticide demand'!K18</f>
        <v>No</v>
      </c>
      <c r="BH18" s="10">
        <f>'Fertilizer &amp; Pesticide demand'!L18</f>
        <v>0</v>
      </c>
      <c r="BI18" s="10">
        <f>'Fertilizer &amp; Pesticide demand'!M18</f>
        <v>0</v>
      </c>
      <c r="BJ18" s="10" t="str">
        <f>'Fertilizer &amp; Pesticide demand'!N18</f>
        <v>Yes</v>
      </c>
      <c r="BK18" s="10">
        <f>'Fertilizer &amp; Pesticide demand'!O18</f>
        <v>1</v>
      </c>
      <c r="BL18" s="10" t="str">
        <f>'Fertilizer &amp; Pesticide demand'!P18</f>
        <v>Packet</v>
      </c>
    </row>
    <row r="19" spans="1:64" ht="20.100000000000001" customHeight="1" x14ac:dyDescent="0.25">
      <c r="A19" s="6">
        <f t="shared" si="0"/>
        <v>17</v>
      </c>
      <c r="B19" s="12" t="s">
        <v>16</v>
      </c>
      <c r="C19" s="28" t="s">
        <v>57</v>
      </c>
      <c r="D19" s="4"/>
      <c r="E19" s="6" t="s">
        <v>29</v>
      </c>
      <c r="F19" s="6" t="s">
        <v>13</v>
      </c>
      <c r="G19" s="6" t="s">
        <v>236</v>
      </c>
      <c r="H19" s="6" t="s">
        <v>228</v>
      </c>
      <c r="I19" s="6" t="s">
        <v>29</v>
      </c>
      <c r="J19" s="10" t="s">
        <v>173</v>
      </c>
      <c r="K19" s="6">
        <v>200</v>
      </c>
      <c r="L19" s="6" t="s">
        <v>29</v>
      </c>
      <c r="M19" s="6" t="s">
        <v>180</v>
      </c>
      <c r="N19" s="6">
        <v>1</v>
      </c>
      <c r="O19" s="6" t="s">
        <v>191</v>
      </c>
      <c r="P19" s="6" t="s">
        <v>31</v>
      </c>
      <c r="Q19" s="6" t="s">
        <v>229</v>
      </c>
      <c r="R19" s="6" t="s">
        <v>229</v>
      </c>
      <c r="S19" s="6" t="s">
        <v>229</v>
      </c>
      <c r="T19" s="6" t="s">
        <v>31</v>
      </c>
      <c r="U19" s="6" t="s">
        <v>229</v>
      </c>
      <c r="V19" s="6" t="s">
        <v>229</v>
      </c>
      <c r="W19" s="6" t="s">
        <v>31</v>
      </c>
      <c r="X19" s="6" t="s">
        <v>229</v>
      </c>
      <c r="Y19" s="6" t="s">
        <v>229</v>
      </c>
      <c r="Z19" s="6" t="s">
        <v>31</v>
      </c>
      <c r="AA19" s="6" t="s">
        <v>229</v>
      </c>
      <c r="AB19" s="6" t="s">
        <v>229</v>
      </c>
      <c r="AC19" s="6" t="s">
        <v>31</v>
      </c>
      <c r="AD19" s="6" t="s">
        <v>229</v>
      </c>
      <c r="AE19" s="6" t="s">
        <v>229</v>
      </c>
      <c r="AF19" s="6" t="s">
        <v>31</v>
      </c>
      <c r="AG19" s="6" t="s">
        <v>229</v>
      </c>
      <c r="AH19" s="6" t="s">
        <v>229</v>
      </c>
      <c r="AI19" s="6" t="s">
        <v>31</v>
      </c>
      <c r="AJ19" s="6" t="s">
        <v>229</v>
      </c>
      <c r="AK19" s="6" t="s">
        <v>229</v>
      </c>
      <c r="AL19" s="4"/>
      <c r="AM19" s="7"/>
      <c r="AN19" s="7"/>
      <c r="AO19" s="4"/>
      <c r="AP19" s="7"/>
      <c r="AQ19" s="7"/>
      <c r="AR19" s="4"/>
      <c r="AS19" s="7"/>
      <c r="AT19" s="7"/>
      <c r="AU19" s="6">
        <v>1</v>
      </c>
      <c r="AV19" s="6" t="s">
        <v>230</v>
      </c>
      <c r="AW19" s="6">
        <v>16</v>
      </c>
      <c r="AX19" s="6" t="s">
        <v>231</v>
      </c>
      <c r="AY19" s="6">
        <v>4</v>
      </c>
      <c r="AZ19" s="6" t="s">
        <v>231</v>
      </c>
      <c r="BA19" s="23" t="str">
        <f>'Fertilizer &amp; Pesticide demand'!H19</f>
        <v>Yes</v>
      </c>
      <c r="BB19" s="23">
        <f>'Fertilizer &amp; Pesticide demand'!I19</f>
        <v>1</v>
      </c>
      <c r="BC19" s="23" t="str">
        <f>'Fertilizer &amp; Pesticide demand'!J19</f>
        <v>Packets</v>
      </c>
      <c r="BD19" s="10" t="e">
        <f>'Fertilizer &amp; Pesticide demand'!#REF!</f>
        <v>#REF!</v>
      </c>
      <c r="BE19" s="10" t="e">
        <f>'Fertilizer &amp; Pesticide demand'!#REF!</f>
        <v>#REF!</v>
      </c>
      <c r="BF19" s="10" t="e">
        <f>'Fertilizer &amp; Pesticide demand'!#REF!</f>
        <v>#REF!</v>
      </c>
      <c r="BG19" s="10" t="str">
        <f>'Fertilizer &amp; Pesticide demand'!K19</f>
        <v>No</v>
      </c>
      <c r="BH19" s="10">
        <f>'Fertilizer &amp; Pesticide demand'!L19</f>
        <v>0</v>
      </c>
      <c r="BI19" s="10">
        <f>'Fertilizer &amp; Pesticide demand'!M19</f>
        <v>0</v>
      </c>
      <c r="BJ19" s="10" t="str">
        <f>'Fertilizer &amp; Pesticide demand'!N19</f>
        <v>Yes</v>
      </c>
      <c r="BK19" s="10">
        <f>'Fertilizer &amp; Pesticide demand'!O19</f>
        <v>1</v>
      </c>
      <c r="BL19" s="10" t="str">
        <f>'Fertilizer &amp; Pesticide demand'!P19</f>
        <v>Packet</v>
      </c>
    </row>
    <row r="20" spans="1:64" ht="20.100000000000001" customHeight="1" x14ac:dyDescent="0.25">
      <c r="A20" s="6">
        <f t="shared" si="0"/>
        <v>18</v>
      </c>
      <c r="B20" s="12" t="s">
        <v>16</v>
      </c>
      <c r="C20" s="28" t="s">
        <v>77</v>
      </c>
      <c r="D20" s="4"/>
      <c r="E20" s="6" t="s">
        <v>29</v>
      </c>
      <c r="F20" s="6" t="s">
        <v>13</v>
      </c>
      <c r="G20" s="6" t="s">
        <v>236</v>
      </c>
      <c r="H20" s="6" t="s">
        <v>228</v>
      </c>
      <c r="I20" s="6" t="s">
        <v>29</v>
      </c>
      <c r="J20" s="10" t="s">
        <v>173</v>
      </c>
      <c r="K20" s="6">
        <v>200</v>
      </c>
      <c r="L20" s="6" t="s">
        <v>29</v>
      </c>
      <c r="M20" s="6" t="s">
        <v>180</v>
      </c>
      <c r="N20" s="6">
        <v>1</v>
      </c>
      <c r="O20" s="6" t="s">
        <v>191</v>
      </c>
      <c r="P20" s="6" t="s">
        <v>31</v>
      </c>
      <c r="Q20" s="6" t="s">
        <v>229</v>
      </c>
      <c r="R20" s="6" t="s">
        <v>229</v>
      </c>
      <c r="S20" s="6" t="s">
        <v>229</v>
      </c>
      <c r="T20" s="6" t="s">
        <v>31</v>
      </c>
      <c r="U20" s="6" t="s">
        <v>229</v>
      </c>
      <c r="V20" s="6" t="s">
        <v>229</v>
      </c>
      <c r="W20" s="6" t="s">
        <v>31</v>
      </c>
      <c r="X20" s="6" t="s">
        <v>229</v>
      </c>
      <c r="Y20" s="6" t="s">
        <v>229</v>
      </c>
      <c r="Z20" s="6" t="s">
        <v>31</v>
      </c>
      <c r="AA20" s="6" t="s">
        <v>229</v>
      </c>
      <c r="AB20" s="6" t="s">
        <v>229</v>
      </c>
      <c r="AC20" s="6" t="s">
        <v>31</v>
      </c>
      <c r="AD20" s="6" t="s">
        <v>229</v>
      </c>
      <c r="AE20" s="6" t="s">
        <v>229</v>
      </c>
      <c r="AF20" s="6" t="s">
        <v>31</v>
      </c>
      <c r="AG20" s="6" t="s">
        <v>229</v>
      </c>
      <c r="AH20" s="6" t="s">
        <v>229</v>
      </c>
      <c r="AI20" s="6" t="s">
        <v>31</v>
      </c>
      <c r="AJ20" s="6" t="s">
        <v>229</v>
      </c>
      <c r="AK20" s="6" t="s">
        <v>229</v>
      </c>
      <c r="AL20" s="4"/>
      <c r="AM20" s="7"/>
      <c r="AN20" s="7"/>
      <c r="AO20" s="4"/>
      <c r="AP20" s="7"/>
      <c r="AQ20" s="7"/>
      <c r="AR20" s="4"/>
      <c r="AS20" s="7"/>
      <c r="AT20" s="7"/>
      <c r="AU20" s="6">
        <v>1</v>
      </c>
      <c r="AV20" s="6" t="s">
        <v>230</v>
      </c>
      <c r="AW20" s="6">
        <v>16</v>
      </c>
      <c r="AX20" s="6" t="s">
        <v>231</v>
      </c>
      <c r="AY20" s="6">
        <v>4</v>
      </c>
      <c r="AZ20" s="6" t="s">
        <v>231</v>
      </c>
      <c r="BA20" s="23" t="str">
        <f>'Fertilizer &amp; Pesticide demand'!H20</f>
        <v>Yes</v>
      </c>
      <c r="BB20" s="23">
        <f>'Fertilizer &amp; Pesticide demand'!I20</f>
        <v>1</v>
      </c>
      <c r="BC20" s="23" t="str">
        <f>'Fertilizer &amp; Pesticide demand'!J20</f>
        <v>Packets</v>
      </c>
      <c r="BD20" s="10" t="e">
        <f>'Fertilizer &amp; Pesticide demand'!#REF!</f>
        <v>#REF!</v>
      </c>
      <c r="BE20" s="10" t="e">
        <f>'Fertilizer &amp; Pesticide demand'!#REF!</f>
        <v>#REF!</v>
      </c>
      <c r="BF20" s="10" t="e">
        <f>'Fertilizer &amp; Pesticide demand'!#REF!</f>
        <v>#REF!</v>
      </c>
      <c r="BG20" s="10" t="str">
        <f>'Fertilizer &amp; Pesticide demand'!K20</f>
        <v>No</v>
      </c>
      <c r="BH20" s="10">
        <f>'Fertilizer &amp; Pesticide demand'!L20</f>
        <v>0</v>
      </c>
      <c r="BI20" s="10">
        <f>'Fertilizer &amp; Pesticide demand'!M20</f>
        <v>0</v>
      </c>
      <c r="BJ20" s="10" t="str">
        <f>'Fertilizer &amp; Pesticide demand'!N20</f>
        <v>Yes</v>
      </c>
      <c r="BK20" s="10">
        <f>'Fertilizer &amp; Pesticide demand'!O20</f>
        <v>1</v>
      </c>
      <c r="BL20" s="10" t="str">
        <f>'Fertilizer &amp; Pesticide demand'!P20</f>
        <v>Packet</v>
      </c>
    </row>
    <row r="21" spans="1:64" ht="20.100000000000001" customHeight="1" x14ac:dyDescent="0.25">
      <c r="A21" s="6">
        <f t="shared" si="0"/>
        <v>19</v>
      </c>
      <c r="B21" s="12" t="s">
        <v>16</v>
      </c>
      <c r="C21" s="28" t="s">
        <v>79</v>
      </c>
      <c r="D21" s="4"/>
      <c r="E21" s="6" t="s">
        <v>29</v>
      </c>
      <c r="F21" s="6" t="s">
        <v>13</v>
      </c>
      <c r="G21" s="6" t="s">
        <v>236</v>
      </c>
      <c r="H21" s="6" t="s">
        <v>228</v>
      </c>
      <c r="I21" s="6" t="s">
        <v>29</v>
      </c>
      <c r="J21" s="10" t="s">
        <v>173</v>
      </c>
      <c r="K21" s="6">
        <v>200</v>
      </c>
      <c r="L21" s="6" t="s">
        <v>29</v>
      </c>
      <c r="M21" s="6" t="s">
        <v>180</v>
      </c>
      <c r="N21" s="6">
        <v>1</v>
      </c>
      <c r="O21" s="6" t="s">
        <v>191</v>
      </c>
      <c r="P21" s="6" t="s">
        <v>31</v>
      </c>
      <c r="Q21" s="6" t="s">
        <v>229</v>
      </c>
      <c r="R21" s="6" t="s">
        <v>229</v>
      </c>
      <c r="S21" s="6" t="s">
        <v>229</v>
      </c>
      <c r="T21" s="6" t="s">
        <v>31</v>
      </c>
      <c r="U21" s="6" t="s">
        <v>229</v>
      </c>
      <c r="V21" s="6" t="s">
        <v>229</v>
      </c>
      <c r="W21" s="6" t="s">
        <v>31</v>
      </c>
      <c r="X21" s="6" t="s">
        <v>229</v>
      </c>
      <c r="Y21" s="6" t="s">
        <v>229</v>
      </c>
      <c r="Z21" s="6" t="s">
        <v>31</v>
      </c>
      <c r="AA21" s="6" t="s">
        <v>229</v>
      </c>
      <c r="AB21" s="6" t="s">
        <v>229</v>
      </c>
      <c r="AC21" s="6" t="s">
        <v>31</v>
      </c>
      <c r="AD21" s="6" t="s">
        <v>229</v>
      </c>
      <c r="AE21" s="6" t="s">
        <v>229</v>
      </c>
      <c r="AF21" s="6" t="s">
        <v>31</v>
      </c>
      <c r="AG21" s="6" t="s">
        <v>229</v>
      </c>
      <c r="AH21" s="6" t="s">
        <v>229</v>
      </c>
      <c r="AI21" s="6" t="s">
        <v>31</v>
      </c>
      <c r="AJ21" s="6" t="s">
        <v>229</v>
      </c>
      <c r="AK21" s="6" t="s">
        <v>229</v>
      </c>
      <c r="AL21" s="4"/>
      <c r="AM21" s="7"/>
      <c r="AN21" s="7"/>
      <c r="AO21" s="4"/>
      <c r="AP21" s="7"/>
      <c r="AQ21" s="7"/>
      <c r="AR21" s="4"/>
      <c r="AS21" s="7"/>
      <c r="AT21" s="7"/>
      <c r="AU21" s="6">
        <v>1</v>
      </c>
      <c r="AV21" s="6" t="s">
        <v>230</v>
      </c>
      <c r="AW21" s="6">
        <v>16</v>
      </c>
      <c r="AX21" s="6" t="s">
        <v>231</v>
      </c>
      <c r="AY21" s="6">
        <v>4</v>
      </c>
      <c r="AZ21" s="6" t="s">
        <v>231</v>
      </c>
      <c r="BA21" s="23" t="str">
        <f>'Fertilizer &amp; Pesticide demand'!H21</f>
        <v>Yes</v>
      </c>
      <c r="BB21" s="23">
        <f>'Fertilizer &amp; Pesticide demand'!I21</f>
        <v>1</v>
      </c>
      <c r="BC21" s="23" t="str">
        <f>'Fertilizer &amp; Pesticide demand'!J21</f>
        <v>Packets</v>
      </c>
      <c r="BD21" s="10" t="e">
        <f>'Fertilizer &amp; Pesticide demand'!#REF!</f>
        <v>#REF!</v>
      </c>
      <c r="BE21" s="10" t="e">
        <f>'Fertilizer &amp; Pesticide demand'!#REF!</f>
        <v>#REF!</v>
      </c>
      <c r="BF21" s="10" t="e">
        <f>'Fertilizer &amp; Pesticide demand'!#REF!</f>
        <v>#REF!</v>
      </c>
      <c r="BG21" s="10" t="str">
        <f>'Fertilizer &amp; Pesticide demand'!K21</f>
        <v>No</v>
      </c>
      <c r="BH21" s="10">
        <f>'Fertilizer &amp; Pesticide demand'!L21</f>
        <v>0</v>
      </c>
      <c r="BI21" s="10">
        <f>'Fertilizer &amp; Pesticide demand'!M21</f>
        <v>0</v>
      </c>
      <c r="BJ21" s="10" t="str">
        <f>'Fertilizer &amp; Pesticide demand'!N21</f>
        <v>Yes</v>
      </c>
      <c r="BK21" s="10">
        <f>'Fertilizer &amp; Pesticide demand'!O21</f>
        <v>1</v>
      </c>
      <c r="BL21" s="10" t="str">
        <f>'Fertilizer &amp; Pesticide demand'!P21</f>
        <v>Packet</v>
      </c>
    </row>
    <row r="22" spans="1:64" ht="20.100000000000001" customHeight="1" x14ac:dyDescent="0.25">
      <c r="A22" s="6">
        <f t="shared" si="0"/>
        <v>20</v>
      </c>
      <c r="B22" s="12" t="s">
        <v>16</v>
      </c>
      <c r="C22" s="28" t="s">
        <v>44</v>
      </c>
      <c r="D22" s="4"/>
      <c r="E22" s="6" t="s">
        <v>29</v>
      </c>
      <c r="F22" s="6" t="s">
        <v>13</v>
      </c>
      <c r="G22" s="6" t="s">
        <v>237</v>
      </c>
      <c r="H22" s="6" t="s">
        <v>228</v>
      </c>
      <c r="I22" s="6" t="s">
        <v>29</v>
      </c>
      <c r="J22" s="10" t="s">
        <v>173</v>
      </c>
      <c r="K22" s="6">
        <v>200</v>
      </c>
      <c r="L22" s="6" t="s">
        <v>29</v>
      </c>
      <c r="M22" s="6" t="s">
        <v>180</v>
      </c>
      <c r="N22" s="6">
        <v>1</v>
      </c>
      <c r="O22" s="6" t="s">
        <v>191</v>
      </c>
      <c r="P22" s="6" t="s">
        <v>31</v>
      </c>
      <c r="Q22" s="6" t="s">
        <v>229</v>
      </c>
      <c r="R22" s="6" t="s">
        <v>229</v>
      </c>
      <c r="S22" s="6" t="s">
        <v>229</v>
      </c>
      <c r="T22" s="6" t="s">
        <v>31</v>
      </c>
      <c r="U22" s="6" t="s">
        <v>229</v>
      </c>
      <c r="V22" s="6" t="s">
        <v>229</v>
      </c>
      <c r="W22" s="6" t="s">
        <v>31</v>
      </c>
      <c r="X22" s="6" t="s">
        <v>229</v>
      </c>
      <c r="Y22" s="6" t="s">
        <v>229</v>
      </c>
      <c r="Z22" s="6" t="s">
        <v>31</v>
      </c>
      <c r="AA22" s="6" t="s">
        <v>229</v>
      </c>
      <c r="AB22" s="6" t="s">
        <v>229</v>
      </c>
      <c r="AC22" s="6" t="s">
        <v>31</v>
      </c>
      <c r="AD22" s="6" t="s">
        <v>229</v>
      </c>
      <c r="AE22" s="6" t="s">
        <v>229</v>
      </c>
      <c r="AF22" s="6" t="s">
        <v>31</v>
      </c>
      <c r="AG22" s="6" t="s">
        <v>229</v>
      </c>
      <c r="AH22" s="6" t="s">
        <v>229</v>
      </c>
      <c r="AI22" s="6" t="s">
        <v>31</v>
      </c>
      <c r="AJ22" s="6" t="s">
        <v>229</v>
      </c>
      <c r="AK22" s="6" t="s">
        <v>229</v>
      </c>
      <c r="AL22" s="4"/>
      <c r="AM22" s="7"/>
      <c r="AN22" s="7"/>
      <c r="AO22" s="4"/>
      <c r="AP22" s="7"/>
      <c r="AQ22" s="7"/>
      <c r="AR22" s="4"/>
      <c r="AS22" s="7"/>
      <c r="AT22" s="7"/>
      <c r="AU22" s="6">
        <v>1</v>
      </c>
      <c r="AV22" s="6" t="s">
        <v>230</v>
      </c>
      <c r="AW22" s="6">
        <v>16</v>
      </c>
      <c r="AX22" s="6" t="s">
        <v>231</v>
      </c>
      <c r="AY22" s="6">
        <v>4</v>
      </c>
      <c r="AZ22" s="6" t="s">
        <v>231</v>
      </c>
      <c r="BA22" s="23" t="str">
        <f>'Fertilizer &amp; Pesticide demand'!H22</f>
        <v>Yes</v>
      </c>
      <c r="BB22" s="23">
        <f>'Fertilizer &amp; Pesticide demand'!I22</f>
        <v>1</v>
      </c>
      <c r="BC22" s="23" t="str">
        <f>'Fertilizer &amp; Pesticide demand'!J22</f>
        <v>Packets</v>
      </c>
      <c r="BD22" s="10" t="e">
        <f>'Fertilizer &amp; Pesticide demand'!#REF!</f>
        <v>#REF!</v>
      </c>
      <c r="BE22" s="10" t="e">
        <f>'Fertilizer &amp; Pesticide demand'!#REF!</f>
        <v>#REF!</v>
      </c>
      <c r="BF22" s="10" t="e">
        <f>'Fertilizer &amp; Pesticide demand'!#REF!</f>
        <v>#REF!</v>
      </c>
      <c r="BG22" s="10" t="str">
        <f>'Fertilizer &amp; Pesticide demand'!K22</f>
        <v>No</v>
      </c>
      <c r="BH22" s="10">
        <f>'Fertilizer &amp; Pesticide demand'!L22</f>
        <v>0</v>
      </c>
      <c r="BI22" s="10">
        <f>'Fertilizer &amp; Pesticide demand'!M22</f>
        <v>0</v>
      </c>
      <c r="BJ22" s="10" t="str">
        <f>'Fertilizer &amp; Pesticide demand'!N22</f>
        <v>Yes</v>
      </c>
      <c r="BK22" s="10">
        <f>'Fertilizer &amp; Pesticide demand'!O22</f>
        <v>1</v>
      </c>
      <c r="BL22" s="10" t="str">
        <f>'Fertilizer &amp; Pesticide demand'!P22</f>
        <v>Packet</v>
      </c>
    </row>
    <row r="23" spans="1:64" ht="20.100000000000001" customHeight="1" x14ac:dyDescent="0.25">
      <c r="A23" s="6">
        <f t="shared" si="0"/>
        <v>21</v>
      </c>
      <c r="B23" s="12" t="s">
        <v>16</v>
      </c>
      <c r="C23" s="28" t="s">
        <v>55</v>
      </c>
      <c r="D23" s="4"/>
      <c r="E23" s="6" t="s">
        <v>29</v>
      </c>
      <c r="F23" s="6" t="s">
        <v>13</v>
      </c>
      <c r="G23" s="6" t="s">
        <v>237</v>
      </c>
      <c r="H23" s="6" t="s">
        <v>228</v>
      </c>
      <c r="I23" s="6" t="s">
        <v>29</v>
      </c>
      <c r="J23" s="10" t="s">
        <v>173</v>
      </c>
      <c r="K23" s="6">
        <v>200</v>
      </c>
      <c r="L23" s="6" t="s">
        <v>29</v>
      </c>
      <c r="M23" s="6" t="s">
        <v>180</v>
      </c>
      <c r="N23" s="6">
        <v>1</v>
      </c>
      <c r="O23" s="6" t="s">
        <v>191</v>
      </c>
      <c r="P23" s="6" t="s">
        <v>31</v>
      </c>
      <c r="Q23" s="6" t="s">
        <v>229</v>
      </c>
      <c r="R23" s="6" t="s">
        <v>229</v>
      </c>
      <c r="S23" s="6" t="s">
        <v>229</v>
      </c>
      <c r="T23" s="6" t="s">
        <v>31</v>
      </c>
      <c r="U23" s="6" t="s">
        <v>229</v>
      </c>
      <c r="V23" s="6" t="s">
        <v>229</v>
      </c>
      <c r="W23" s="6" t="s">
        <v>31</v>
      </c>
      <c r="X23" s="6" t="s">
        <v>229</v>
      </c>
      <c r="Y23" s="6" t="s">
        <v>229</v>
      </c>
      <c r="Z23" s="6" t="s">
        <v>31</v>
      </c>
      <c r="AA23" s="6" t="s">
        <v>229</v>
      </c>
      <c r="AB23" s="6" t="s">
        <v>229</v>
      </c>
      <c r="AC23" s="6" t="s">
        <v>31</v>
      </c>
      <c r="AD23" s="6" t="s">
        <v>229</v>
      </c>
      <c r="AE23" s="6" t="s">
        <v>229</v>
      </c>
      <c r="AF23" s="6" t="s">
        <v>31</v>
      </c>
      <c r="AG23" s="6" t="s">
        <v>229</v>
      </c>
      <c r="AH23" s="6" t="s">
        <v>229</v>
      </c>
      <c r="AI23" s="6" t="s">
        <v>31</v>
      </c>
      <c r="AJ23" s="6" t="s">
        <v>229</v>
      </c>
      <c r="AK23" s="6" t="s">
        <v>229</v>
      </c>
      <c r="AL23" s="4"/>
      <c r="AM23" s="7"/>
      <c r="AN23" s="7"/>
      <c r="AO23" s="4"/>
      <c r="AP23" s="7"/>
      <c r="AQ23" s="7"/>
      <c r="AR23" s="4"/>
      <c r="AS23" s="7"/>
      <c r="AT23" s="7"/>
      <c r="AU23" s="6">
        <v>1</v>
      </c>
      <c r="AV23" s="6" t="s">
        <v>230</v>
      </c>
      <c r="AW23" s="6">
        <v>16</v>
      </c>
      <c r="AX23" s="6" t="s">
        <v>231</v>
      </c>
      <c r="AY23" s="6">
        <v>4</v>
      </c>
      <c r="AZ23" s="6" t="s">
        <v>231</v>
      </c>
      <c r="BA23" s="23" t="str">
        <f>'Fertilizer &amp; Pesticide demand'!H23</f>
        <v>Yes</v>
      </c>
      <c r="BB23" s="23">
        <f>'Fertilizer &amp; Pesticide demand'!I23</f>
        <v>1</v>
      </c>
      <c r="BC23" s="23" t="str">
        <f>'Fertilizer &amp; Pesticide demand'!J23</f>
        <v>Packets</v>
      </c>
      <c r="BD23" s="10" t="e">
        <f>'Fertilizer &amp; Pesticide demand'!#REF!</f>
        <v>#REF!</v>
      </c>
      <c r="BE23" s="10" t="e">
        <f>'Fertilizer &amp; Pesticide demand'!#REF!</f>
        <v>#REF!</v>
      </c>
      <c r="BF23" s="10" t="e">
        <f>'Fertilizer &amp; Pesticide demand'!#REF!</f>
        <v>#REF!</v>
      </c>
      <c r="BG23" s="10" t="str">
        <f>'Fertilizer &amp; Pesticide demand'!K23</f>
        <v>No</v>
      </c>
      <c r="BH23" s="10">
        <f>'Fertilizer &amp; Pesticide demand'!L23</f>
        <v>0</v>
      </c>
      <c r="BI23" s="10">
        <f>'Fertilizer &amp; Pesticide demand'!M23</f>
        <v>0</v>
      </c>
      <c r="BJ23" s="10" t="str">
        <f>'Fertilizer &amp; Pesticide demand'!N23</f>
        <v>Yes</v>
      </c>
      <c r="BK23" s="10">
        <f>'Fertilizer &amp; Pesticide demand'!O23</f>
        <v>1</v>
      </c>
      <c r="BL23" s="10" t="str">
        <f>'Fertilizer &amp; Pesticide demand'!P23</f>
        <v>Packet</v>
      </c>
    </row>
    <row r="24" spans="1:64" ht="20.100000000000001" customHeight="1" x14ac:dyDescent="0.25">
      <c r="A24" s="6">
        <f t="shared" ref="A24:A86" si="1">A23+1</f>
        <v>22</v>
      </c>
      <c r="B24" s="12" t="s">
        <v>16</v>
      </c>
      <c r="C24" s="28" t="s">
        <v>60</v>
      </c>
      <c r="D24" s="4"/>
      <c r="E24" s="6" t="s">
        <v>31</v>
      </c>
      <c r="F24" s="6" t="s">
        <v>13</v>
      </c>
      <c r="G24" s="6" t="s">
        <v>237</v>
      </c>
      <c r="H24" s="6" t="s">
        <v>228</v>
      </c>
      <c r="I24" s="6" t="s">
        <v>29</v>
      </c>
      <c r="J24" s="10" t="s">
        <v>173</v>
      </c>
      <c r="K24" s="6">
        <v>200</v>
      </c>
      <c r="L24" s="6" t="s">
        <v>29</v>
      </c>
      <c r="M24" s="6" t="s">
        <v>180</v>
      </c>
      <c r="N24" s="6">
        <v>1</v>
      </c>
      <c r="O24" s="6" t="s">
        <v>191</v>
      </c>
      <c r="P24" s="6" t="s">
        <v>31</v>
      </c>
      <c r="Q24" s="6" t="s">
        <v>229</v>
      </c>
      <c r="R24" s="6" t="s">
        <v>229</v>
      </c>
      <c r="S24" s="6" t="s">
        <v>229</v>
      </c>
      <c r="T24" s="6" t="s">
        <v>31</v>
      </c>
      <c r="U24" s="6" t="s">
        <v>229</v>
      </c>
      <c r="V24" s="6" t="s">
        <v>229</v>
      </c>
      <c r="W24" s="6" t="s">
        <v>31</v>
      </c>
      <c r="X24" s="6" t="s">
        <v>229</v>
      </c>
      <c r="Y24" s="6" t="s">
        <v>229</v>
      </c>
      <c r="Z24" s="6" t="s">
        <v>31</v>
      </c>
      <c r="AA24" s="6" t="s">
        <v>229</v>
      </c>
      <c r="AB24" s="6" t="s">
        <v>229</v>
      </c>
      <c r="AC24" s="6" t="s">
        <v>31</v>
      </c>
      <c r="AD24" s="6" t="s">
        <v>229</v>
      </c>
      <c r="AE24" s="6" t="s">
        <v>229</v>
      </c>
      <c r="AF24" s="6" t="s">
        <v>31</v>
      </c>
      <c r="AG24" s="6" t="s">
        <v>229</v>
      </c>
      <c r="AH24" s="6" t="s">
        <v>229</v>
      </c>
      <c r="AI24" s="6" t="s">
        <v>31</v>
      </c>
      <c r="AJ24" s="6" t="s">
        <v>229</v>
      </c>
      <c r="AK24" s="6" t="s">
        <v>229</v>
      </c>
      <c r="AL24" s="4"/>
      <c r="AM24" s="7"/>
      <c r="AN24" s="7"/>
      <c r="AO24" s="4"/>
      <c r="AP24" s="7"/>
      <c r="AQ24" s="7"/>
      <c r="AR24" s="4"/>
      <c r="AS24" s="7"/>
      <c r="AT24" s="7"/>
      <c r="AU24" s="6">
        <v>1</v>
      </c>
      <c r="AV24" s="6" t="s">
        <v>230</v>
      </c>
      <c r="AW24" s="6">
        <v>16</v>
      </c>
      <c r="AX24" s="6" t="s">
        <v>231</v>
      </c>
      <c r="AY24" s="6">
        <v>4</v>
      </c>
      <c r="AZ24" s="6" t="s">
        <v>231</v>
      </c>
      <c r="BA24" s="23" t="str">
        <f>'Fertilizer &amp; Pesticide demand'!H24</f>
        <v>Yes</v>
      </c>
      <c r="BB24" s="23">
        <f>'Fertilizer &amp; Pesticide demand'!I24</f>
        <v>1</v>
      </c>
      <c r="BC24" s="23" t="str">
        <f>'Fertilizer &amp; Pesticide demand'!J24</f>
        <v>Packets</v>
      </c>
      <c r="BD24" s="10" t="e">
        <f>'Fertilizer &amp; Pesticide demand'!#REF!</f>
        <v>#REF!</v>
      </c>
      <c r="BE24" s="10" t="e">
        <f>'Fertilizer &amp; Pesticide demand'!#REF!</f>
        <v>#REF!</v>
      </c>
      <c r="BF24" s="10" t="e">
        <f>'Fertilizer &amp; Pesticide demand'!#REF!</f>
        <v>#REF!</v>
      </c>
      <c r="BG24" s="10" t="str">
        <f>'Fertilizer &amp; Pesticide demand'!K24</f>
        <v>No</v>
      </c>
      <c r="BH24" s="10">
        <f>'Fertilizer &amp; Pesticide demand'!L24</f>
        <v>0</v>
      </c>
      <c r="BI24" s="10">
        <f>'Fertilizer &amp; Pesticide demand'!M24</f>
        <v>0</v>
      </c>
      <c r="BJ24" s="10" t="str">
        <f>'Fertilizer &amp; Pesticide demand'!N24</f>
        <v>Yes</v>
      </c>
      <c r="BK24" s="10">
        <f>'Fertilizer &amp; Pesticide demand'!O24</f>
        <v>1</v>
      </c>
      <c r="BL24" s="10" t="str">
        <f>'Fertilizer &amp; Pesticide demand'!P24</f>
        <v>Packet</v>
      </c>
    </row>
    <row r="25" spans="1:64" ht="20.100000000000001" customHeight="1" x14ac:dyDescent="0.25">
      <c r="A25" s="6">
        <f t="shared" si="1"/>
        <v>23</v>
      </c>
      <c r="B25" s="12" t="s">
        <v>16</v>
      </c>
      <c r="C25" s="28" t="s">
        <v>68</v>
      </c>
      <c r="D25" s="4"/>
      <c r="E25" s="6" t="s">
        <v>31</v>
      </c>
      <c r="F25" s="6" t="s">
        <v>13</v>
      </c>
      <c r="G25" s="6" t="s">
        <v>237</v>
      </c>
      <c r="H25" s="6" t="s">
        <v>228</v>
      </c>
      <c r="I25" s="6" t="s">
        <v>29</v>
      </c>
      <c r="J25" s="10" t="s">
        <v>173</v>
      </c>
      <c r="K25" s="6">
        <v>200</v>
      </c>
      <c r="L25" s="6" t="s">
        <v>29</v>
      </c>
      <c r="M25" s="6" t="s">
        <v>180</v>
      </c>
      <c r="N25" s="6">
        <v>1</v>
      </c>
      <c r="O25" s="6" t="s">
        <v>191</v>
      </c>
      <c r="P25" s="6" t="s">
        <v>31</v>
      </c>
      <c r="Q25" s="6" t="s">
        <v>229</v>
      </c>
      <c r="R25" s="6" t="s">
        <v>229</v>
      </c>
      <c r="S25" s="6" t="s">
        <v>229</v>
      </c>
      <c r="T25" s="6" t="s">
        <v>31</v>
      </c>
      <c r="U25" s="6" t="s">
        <v>229</v>
      </c>
      <c r="V25" s="6" t="s">
        <v>229</v>
      </c>
      <c r="W25" s="6" t="s">
        <v>31</v>
      </c>
      <c r="X25" s="6" t="s">
        <v>229</v>
      </c>
      <c r="Y25" s="6" t="s">
        <v>229</v>
      </c>
      <c r="Z25" s="6" t="s">
        <v>31</v>
      </c>
      <c r="AA25" s="6" t="s">
        <v>229</v>
      </c>
      <c r="AB25" s="6" t="s">
        <v>229</v>
      </c>
      <c r="AC25" s="6" t="s">
        <v>31</v>
      </c>
      <c r="AD25" s="6" t="s">
        <v>229</v>
      </c>
      <c r="AE25" s="6" t="s">
        <v>229</v>
      </c>
      <c r="AF25" s="6" t="s">
        <v>31</v>
      </c>
      <c r="AG25" s="6" t="s">
        <v>229</v>
      </c>
      <c r="AH25" s="6" t="s">
        <v>229</v>
      </c>
      <c r="AI25" s="6" t="s">
        <v>31</v>
      </c>
      <c r="AJ25" s="6" t="s">
        <v>229</v>
      </c>
      <c r="AK25" s="6" t="s">
        <v>229</v>
      </c>
      <c r="AL25" s="4"/>
      <c r="AM25" s="7"/>
      <c r="AN25" s="7"/>
      <c r="AO25" s="4"/>
      <c r="AP25" s="7"/>
      <c r="AQ25" s="7"/>
      <c r="AR25" s="4"/>
      <c r="AS25" s="7"/>
      <c r="AT25" s="7"/>
      <c r="AU25" s="6">
        <v>1</v>
      </c>
      <c r="AV25" s="6" t="s">
        <v>230</v>
      </c>
      <c r="AW25" s="6">
        <v>16</v>
      </c>
      <c r="AX25" s="6" t="s">
        <v>231</v>
      </c>
      <c r="AY25" s="6">
        <v>4</v>
      </c>
      <c r="AZ25" s="6" t="s">
        <v>231</v>
      </c>
      <c r="BA25" s="23" t="str">
        <f>'Fertilizer &amp; Pesticide demand'!H25</f>
        <v>Yes</v>
      </c>
      <c r="BB25" s="23">
        <f>'Fertilizer &amp; Pesticide demand'!I25</f>
        <v>1</v>
      </c>
      <c r="BC25" s="23" t="str">
        <f>'Fertilizer &amp; Pesticide demand'!J25</f>
        <v>Packets</v>
      </c>
      <c r="BD25" s="10" t="e">
        <f>'Fertilizer &amp; Pesticide demand'!#REF!</f>
        <v>#REF!</v>
      </c>
      <c r="BE25" s="10" t="e">
        <f>'Fertilizer &amp; Pesticide demand'!#REF!</f>
        <v>#REF!</v>
      </c>
      <c r="BF25" s="10" t="e">
        <f>'Fertilizer &amp; Pesticide demand'!#REF!</f>
        <v>#REF!</v>
      </c>
      <c r="BG25" s="10" t="str">
        <f>'Fertilizer &amp; Pesticide demand'!K25</f>
        <v>No</v>
      </c>
      <c r="BH25" s="10">
        <f>'Fertilizer &amp; Pesticide demand'!L25</f>
        <v>0</v>
      </c>
      <c r="BI25" s="10">
        <f>'Fertilizer &amp; Pesticide demand'!M25</f>
        <v>0</v>
      </c>
      <c r="BJ25" s="10" t="str">
        <f>'Fertilizer &amp; Pesticide demand'!N25</f>
        <v>Yes</v>
      </c>
      <c r="BK25" s="10">
        <f>'Fertilizer &amp; Pesticide demand'!O25</f>
        <v>1</v>
      </c>
      <c r="BL25" s="10" t="str">
        <f>'Fertilizer &amp; Pesticide demand'!P25</f>
        <v>Packet</v>
      </c>
    </row>
    <row r="26" spans="1:64" ht="20.100000000000001" customHeight="1" x14ac:dyDescent="0.25">
      <c r="A26" s="6">
        <f t="shared" si="1"/>
        <v>24</v>
      </c>
      <c r="B26" s="12" t="s">
        <v>16</v>
      </c>
      <c r="C26" s="28" t="s">
        <v>74</v>
      </c>
      <c r="D26" s="4"/>
      <c r="E26" s="6" t="s">
        <v>31</v>
      </c>
      <c r="F26" s="6" t="s">
        <v>13</v>
      </c>
      <c r="G26" s="6" t="s">
        <v>237</v>
      </c>
      <c r="H26" s="6" t="s">
        <v>228</v>
      </c>
      <c r="I26" s="6" t="s">
        <v>29</v>
      </c>
      <c r="J26" s="10" t="s">
        <v>173</v>
      </c>
      <c r="K26" s="6">
        <v>200</v>
      </c>
      <c r="L26" s="6" t="s">
        <v>29</v>
      </c>
      <c r="M26" s="6" t="s">
        <v>180</v>
      </c>
      <c r="N26" s="6">
        <v>1</v>
      </c>
      <c r="O26" s="6" t="s">
        <v>191</v>
      </c>
      <c r="P26" s="6" t="s">
        <v>31</v>
      </c>
      <c r="Q26" s="6" t="s">
        <v>229</v>
      </c>
      <c r="R26" s="6" t="s">
        <v>229</v>
      </c>
      <c r="S26" s="6" t="s">
        <v>229</v>
      </c>
      <c r="T26" s="6" t="s">
        <v>31</v>
      </c>
      <c r="U26" s="6" t="s">
        <v>229</v>
      </c>
      <c r="V26" s="6" t="s">
        <v>229</v>
      </c>
      <c r="W26" s="6" t="s">
        <v>31</v>
      </c>
      <c r="X26" s="6" t="s">
        <v>229</v>
      </c>
      <c r="Y26" s="6" t="s">
        <v>229</v>
      </c>
      <c r="Z26" s="6" t="s">
        <v>31</v>
      </c>
      <c r="AA26" s="6" t="s">
        <v>229</v>
      </c>
      <c r="AB26" s="6" t="s">
        <v>229</v>
      </c>
      <c r="AC26" s="6" t="s">
        <v>31</v>
      </c>
      <c r="AD26" s="6" t="s">
        <v>229</v>
      </c>
      <c r="AE26" s="6" t="s">
        <v>229</v>
      </c>
      <c r="AF26" s="6" t="s">
        <v>31</v>
      </c>
      <c r="AG26" s="6" t="s">
        <v>229</v>
      </c>
      <c r="AH26" s="6" t="s">
        <v>229</v>
      </c>
      <c r="AI26" s="6" t="s">
        <v>31</v>
      </c>
      <c r="AJ26" s="6" t="s">
        <v>229</v>
      </c>
      <c r="AK26" s="6" t="s">
        <v>229</v>
      </c>
      <c r="AL26" s="4"/>
      <c r="AM26" s="7"/>
      <c r="AN26" s="7"/>
      <c r="AO26" s="4"/>
      <c r="AP26" s="7"/>
      <c r="AQ26" s="7"/>
      <c r="AR26" s="4"/>
      <c r="AS26" s="7"/>
      <c r="AT26" s="7"/>
      <c r="AU26" s="6">
        <v>1</v>
      </c>
      <c r="AV26" s="6" t="s">
        <v>230</v>
      </c>
      <c r="AW26" s="6">
        <v>16</v>
      </c>
      <c r="AX26" s="6" t="s">
        <v>231</v>
      </c>
      <c r="AY26" s="6">
        <v>4</v>
      </c>
      <c r="AZ26" s="6" t="s">
        <v>231</v>
      </c>
      <c r="BA26" s="23" t="str">
        <f>'Fertilizer &amp; Pesticide demand'!H26</f>
        <v>Yes</v>
      </c>
      <c r="BB26" s="23">
        <f>'Fertilizer &amp; Pesticide demand'!I26</f>
        <v>1</v>
      </c>
      <c r="BC26" s="23" t="str">
        <f>'Fertilizer &amp; Pesticide demand'!J26</f>
        <v>Packets</v>
      </c>
      <c r="BD26" s="10" t="e">
        <f>'Fertilizer &amp; Pesticide demand'!#REF!</f>
        <v>#REF!</v>
      </c>
      <c r="BE26" s="10" t="e">
        <f>'Fertilizer &amp; Pesticide demand'!#REF!</f>
        <v>#REF!</v>
      </c>
      <c r="BF26" s="10" t="e">
        <f>'Fertilizer &amp; Pesticide demand'!#REF!</f>
        <v>#REF!</v>
      </c>
      <c r="BG26" s="10" t="str">
        <f>'Fertilizer &amp; Pesticide demand'!K26</f>
        <v>No</v>
      </c>
      <c r="BH26" s="10">
        <f>'Fertilizer &amp; Pesticide demand'!L26</f>
        <v>0</v>
      </c>
      <c r="BI26" s="10">
        <f>'Fertilizer &amp; Pesticide demand'!M26</f>
        <v>0</v>
      </c>
      <c r="BJ26" s="10" t="str">
        <f>'Fertilizer &amp; Pesticide demand'!N26</f>
        <v>Yes</v>
      </c>
      <c r="BK26" s="10">
        <f>'Fertilizer &amp; Pesticide demand'!O26</f>
        <v>1</v>
      </c>
      <c r="BL26" s="10" t="str">
        <f>'Fertilizer &amp; Pesticide demand'!P26</f>
        <v>Packet</v>
      </c>
    </row>
    <row r="27" spans="1:64" ht="20.100000000000001" customHeight="1" x14ac:dyDescent="0.25">
      <c r="A27" s="6">
        <f t="shared" si="1"/>
        <v>25</v>
      </c>
      <c r="B27" s="12" t="s">
        <v>16</v>
      </c>
      <c r="C27" s="28" t="s">
        <v>101</v>
      </c>
      <c r="D27" s="4"/>
      <c r="E27" s="6" t="s">
        <v>31</v>
      </c>
      <c r="F27" s="6" t="s">
        <v>13</v>
      </c>
      <c r="G27" s="6" t="s">
        <v>237</v>
      </c>
      <c r="H27" s="6" t="s">
        <v>228</v>
      </c>
      <c r="I27" s="6" t="s">
        <v>29</v>
      </c>
      <c r="J27" s="10" t="s">
        <v>173</v>
      </c>
      <c r="K27" s="6">
        <v>200</v>
      </c>
      <c r="L27" s="6" t="s">
        <v>29</v>
      </c>
      <c r="M27" s="6" t="s">
        <v>180</v>
      </c>
      <c r="N27" s="6">
        <v>1</v>
      </c>
      <c r="O27" s="6" t="s">
        <v>191</v>
      </c>
      <c r="P27" s="6" t="s">
        <v>31</v>
      </c>
      <c r="Q27" s="6" t="s">
        <v>229</v>
      </c>
      <c r="R27" s="6" t="s">
        <v>229</v>
      </c>
      <c r="S27" s="6" t="s">
        <v>229</v>
      </c>
      <c r="T27" s="6" t="s">
        <v>31</v>
      </c>
      <c r="U27" s="6" t="s">
        <v>229</v>
      </c>
      <c r="V27" s="6" t="s">
        <v>229</v>
      </c>
      <c r="W27" s="6" t="s">
        <v>31</v>
      </c>
      <c r="X27" s="6" t="s">
        <v>229</v>
      </c>
      <c r="Y27" s="6" t="s">
        <v>229</v>
      </c>
      <c r="Z27" s="6" t="s">
        <v>31</v>
      </c>
      <c r="AA27" s="6" t="s">
        <v>229</v>
      </c>
      <c r="AB27" s="6" t="s">
        <v>229</v>
      </c>
      <c r="AC27" s="6" t="s">
        <v>31</v>
      </c>
      <c r="AD27" s="6" t="s">
        <v>229</v>
      </c>
      <c r="AE27" s="6" t="s">
        <v>229</v>
      </c>
      <c r="AF27" s="6" t="s">
        <v>31</v>
      </c>
      <c r="AG27" s="6" t="s">
        <v>229</v>
      </c>
      <c r="AH27" s="6" t="s">
        <v>229</v>
      </c>
      <c r="AI27" s="6" t="s">
        <v>31</v>
      </c>
      <c r="AJ27" s="6" t="s">
        <v>229</v>
      </c>
      <c r="AK27" s="6" t="s">
        <v>229</v>
      </c>
      <c r="AL27" s="4"/>
      <c r="AM27" s="7"/>
      <c r="AN27" s="7"/>
      <c r="AO27" s="4"/>
      <c r="AP27" s="7"/>
      <c r="AQ27" s="7"/>
      <c r="AR27" s="4"/>
      <c r="AS27" s="7"/>
      <c r="AT27" s="7"/>
      <c r="AU27" s="6">
        <v>1</v>
      </c>
      <c r="AV27" s="6" t="s">
        <v>230</v>
      </c>
      <c r="AW27" s="6">
        <v>16</v>
      </c>
      <c r="AX27" s="6" t="s">
        <v>231</v>
      </c>
      <c r="AY27" s="6">
        <v>4</v>
      </c>
      <c r="AZ27" s="6" t="s">
        <v>231</v>
      </c>
      <c r="BA27" s="23" t="str">
        <f>'Fertilizer &amp; Pesticide demand'!H27</f>
        <v>Yes</v>
      </c>
      <c r="BB27" s="23">
        <f>'Fertilizer &amp; Pesticide demand'!I27</f>
        <v>1</v>
      </c>
      <c r="BC27" s="23" t="str">
        <f>'Fertilizer &amp; Pesticide demand'!J27</f>
        <v>Packets</v>
      </c>
      <c r="BD27" s="10" t="e">
        <f>'Fertilizer &amp; Pesticide demand'!#REF!</f>
        <v>#REF!</v>
      </c>
      <c r="BE27" s="10" t="e">
        <f>'Fertilizer &amp; Pesticide demand'!#REF!</f>
        <v>#REF!</v>
      </c>
      <c r="BF27" s="10" t="e">
        <f>'Fertilizer &amp; Pesticide demand'!#REF!</f>
        <v>#REF!</v>
      </c>
      <c r="BG27" s="10" t="str">
        <f>'Fertilizer &amp; Pesticide demand'!K27</f>
        <v>No</v>
      </c>
      <c r="BH27" s="10">
        <f>'Fertilizer &amp; Pesticide demand'!L27</f>
        <v>0</v>
      </c>
      <c r="BI27" s="10">
        <f>'Fertilizer &amp; Pesticide demand'!M27</f>
        <v>0</v>
      </c>
      <c r="BJ27" s="10" t="str">
        <f>'Fertilizer &amp; Pesticide demand'!N27</f>
        <v>Yes</v>
      </c>
      <c r="BK27" s="10">
        <f>'Fertilizer &amp; Pesticide demand'!O27</f>
        <v>1</v>
      </c>
      <c r="BL27" s="10" t="str">
        <f>'Fertilizer &amp; Pesticide demand'!P27</f>
        <v>Packet</v>
      </c>
    </row>
    <row r="28" spans="1:64" ht="20.100000000000001" customHeight="1" x14ac:dyDescent="0.25">
      <c r="A28" s="6">
        <f t="shared" si="1"/>
        <v>26</v>
      </c>
      <c r="B28" s="12" t="s">
        <v>16</v>
      </c>
      <c r="C28" s="28" t="s">
        <v>102</v>
      </c>
      <c r="D28" s="4"/>
      <c r="E28" s="6" t="s">
        <v>31</v>
      </c>
      <c r="F28" s="6" t="s">
        <v>13</v>
      </c>
      <c r="G28" s="6" t="s">
        <v>237</v>
      </c>
      <c r="H28" s="6" t="s">
        <v>228</v>
      </c>
      <c r="I28" s="6" t="s">
        <v>29</v>
      </c>
      <c r="J28" s="10" t="s">
        <v>173</v>
      </c>
      <c r="K28" s="6">
        <v>200</v>
      </c>
      <c r="L28" s="6" t="s">
        <v>29</v>
      </c>
      <c r="M28" s="6" t="s">
        <v>180</v>
      </c>
      <c r="N28" s="6">
        <v>1</v>
      </c>
      <c r="O28" s="6" t="s">
        <v>191</v>
      </c>
      <c r="P28" s="6" t="s">
        <v>31</v>
      </c>
      <c r="Q28" s="6" t="s">
        <v>229</v>
      </c>
      <c r="R28" s="6" t="s">
        <v>229</v>
      </c>
      <c r="S28" s="6" t="s">
        <v>229</v>
      </c>
      <c r="T28" s="6" t="s">
        <v>31</v>
      </c>
      <c r="U28" s="6" t="s">
        <v>229</v>
      </c>
      <c r="V28" s="6" t="s">
        <v>229</v>
      </c>
      <c r="W28" s="6" t="s">
        <v>31</v>
      </c>
      <c r="X28" s="6" t="s">
        <v>229</v>
      </c>
      <c r="Y28" s="6" t="s">
        <v>229</v>
      </c>
      <c r="Z28" s="6" t="s">
        <v>31</v>
      </c>
      <c r="AA28" s="6" t="s">
        <v>229</v>
      </c>
      <c r="AB28" s="6" t="s">
        <v>229</v>
      </c>
      <c r="AC28" s="6" t="s">
        <v>31</v>
      </c>
      <c r="AD28" s="6" t="s">
        <v>229</v>
      </c>
      <c r="AE28" s="6" t="s">
        <v>229</v>
      </c>
      <c r="AF28" s="6" t="s">
        <v>31</v>
      </c>
      <c r="AG28" s="6" t="s">
        <v>229</v>
      </c>
      <c r="AH28" s="6" t="s">
        <v>229</v>
      </c>
      <c r="AI28" s="6" t="s">
        <v>31</v>
      </c>
      <c r="AJ28" s="6" t="s">
        <v>229</v>
      </c>
      <c r="AK28" s="6" t="s">
        <v>229</v>
      </c>
      <c r="AL28" s="4"/>
      <c r="AM28" s="7"/>
      <c r="AN28" s="7"/>
      <c r="AO28" s="4"/>
      <c r="AP28" s="7"/>
      <c r="AQ28" s="7"/>
      <c r="AR28" s="4"/>
      <c r="AS28" s="7"/>
      <c r="AT28" s="7"/>
      <c r="AU28" s="6">
        <v>1</v>
      </c>
      <c r="AV28" s="6" t="s">
        <v>230</v>
      </c>
      <c r="AW28" s="6">
        <v>16</v>
      </c>
      <c r="AX28" s="6" t="s">
        <v>231</v>
      </c>
      <c r="AY28" s="6">
        <v>4</v>
      </c>
      <c r="AZ28" s="6" t="s">
        <v>231</v>
      </c>
      <c r="BA28" s="23" t="str">
        <f>'Fertilizer &amp; Pesticide demand'!H28</f>
        <v>Yes</v>
      </c>
      <c r="BB28" s="23">
        <f>'Fertilizer &amp; Pesticide demand'!I28</f>
        <v>1</v>
      </c>
      <c r="BC28" s="23" t="str">
        <f>'Fertilizer &amp; Pesticide demand'!J28</f>
        <v>Packets</v>
      </c>
      <c r="BD28" s="10" t="e">
        <f>'Fertilizer &amp; Pesticide demand'!#REF!</f>
        <v>#REF!</v>
      </c>
      <c r="BE28" s="10" t="e">
        <f>'Fertilizer &amp; Pesticide demand'!#REF!</f>
        <v>#REF!</v>
      </c>
      <c r="BF28" s="10" t="e">
        <f>'Fertilizer &amp; Pesticide demand'!#REF!</f>
        <v>#REF!</v>
      </c>
      <c r="BG28" s="10" t="str">
        <f>'Fertilizer &amp; Pesticide demand'!K28</f>
        <v>No</v>
      </c>
      <c r="BH28" s="10">
        <f>'Fertilizer &amp; Pesticide demand'!L28</f>
        <v>0</v>
      </c>
      <c r="BI28" s="10">
        <f>'Fertilizer &amp; Pesticide demand'!M28</f>
        <v>0</v>
      </c>
      <c r="BJ28" s="10" t="str">
        <f>'Fertilizer &amp; Pesticide demand'!N28</f>
        <v>Yes</v>
      </c>
      <c r="BK28" s="10">
        <f>'Fertilizer &amp; Pesticide demand'!O28</f>
        <v>1</v>
      </c>
      <c r="BL28" s="10" t="str">
        <f>'Fertilizer &amp; Pesticide demand'!P28</f>
        <v>Packet</v>
      </c>
    </row>
    <row r="29" spans="1:64" ht="20.100000000000001" customHeight="1" x14ac:dyDescent="0.25">
      <c r="A29" s="6">
        <f t="shared" si="1"/>
        <v>27</v>
      </c>
      <c r="B29" s="12" t="s">
        <v>16</v>
      </c>
      <c r="C29" s="28" t="s">
        <v>106</v>
      </c>
      <c r="D29" s="4"/>
      <c r="E29" s="6" t="s">
        <v>31</v>
      </c>
      <c r="F29" s="6" t="s">
        <v>13</v>
      </c>
      <c r="G29" s="6" t="s">
        <v>237</v>
      </c>
      <c r="H29" s="6" t="s">
        <v>228</v>
      </c>
      <c r="I29" s="6" t="s">
        <v>29</v>
      </c>
      <c r="J29" s="10" t="s">
        <v>173</v>
      </c>
      <c r="K29" s="6">
        <v>200</v>
      </c>
      <c r="L29" s="6" t="s">
        <v>29</v>
      </c>
      <c r="M29" s="6" t="s">
        <v>180</v>
      </c>
      <c r="N29" s="6">
        <v>1</v>
      </c>
      <c r="O29" s="6" t="s">
        <v>191</v>
      </c>
      <c r="P29" s="6" t="s">
        <v>31</v>
      </c>
      <c r="Q29" s="6" t="s">
        <v>229</v>
      </c>
      <c r="R29" s="6" t="s">
        <v>229</v>
      </c>
      <c r="S29" s="6" t="s">
        <v>229</v>
      </c>
      <c r="T29" s="6" t="s">
        <v>31</v>
      </c>
      <c r="U29" s="6" t="s">
        <v>229</v>
      </c>
      <c r="V29" s="6" t="s">
        <v>229</v>
      </c>
      <c r="W29" s="6" t="s">
        <v>31</v>
      </c>
      <c r="X29" s="6" t="s">
        <v>229</v>
      </c>
      <c r="Y29" s="6" t="s">
        <v>229</v>
      </c>
      <c r="Z29" s="6" t="s">
        <v>31</v>
      </c>
      <c r="AA29" s="6" t="s">
        <v>229</v>
      </c>
      <c r="AB29" s="6" t="s">
        <v>229</v>
      </c>
      <c r="AC29" s="6" t="s">
        <v>31</v>
      </c>
      <c r="AD29" s="6" t="s">
        <v>229</v>
      </c>
      <c r="AE29" s="6" t="s">
        <v>229</v>
      </c>
      <c r="AF29" s="6" t="s">
        <v>31</v>
      </c>
      <c r="AG29" s="6" t="s">
        <v>229</v>
      </c>
      <c r="AH29" s="6" t="s">
        <v>229</v>
      </c>
      <c r="AI29" s="6" t="s">
        <v>31</v>
      </c>
      <c r="AJ29" s="6" t="s">
        <v>229</v>
      </c>
      <c r="AK29" s="6" t="s">
        <v>229</v>
      </c>
      <c r="AL29" s="4"/>
      <c r="AM29" s="7"/>
      <c r="AN29" s="7"/>
      <c r="AO29" s="4"/>
      <c r="AP29" s="7"/>
      <c r="AQ29" s="7"/>
      <c r="AR29" s="4"/>
      <c r="AS29" s="7"/>
      <c r="AT29" s="7"/>
      <c r="AU29" s="6">
        <v>1</v>
      </c>
      <c r="AV29" s="6" t="s">
        <v>230</v>
      </c>
      <c r="AW29" s="6">
        <v>16</v>
      </c>
      <c r="AX29" s="6" t="s">
        <v>231</v>
      </c>
      <c r="AY29" s="6">
        <v>4</v>
      </c>
      <c r="AZ29" s="6" t="s">
        <v>231</v>
      </c>
      <c r="BA29" s="23" t="str">
        <f>'Fertilizer &amp; Pesticide demand'!H29</f>
        <v>Yes</v>
      </c>
      <c r="BB29" s="23">
        <f>'Fertilizer &amp; Pesticide demand'!I29</f>
        <v>1</v>
      </c>
      <c r="BC29" s="23" t="str">
        <f>'Fertilizer &amp; Pesticide demand'!J29</f>
        <v>Packets</v>
      </c>
      <c r="BD29" s="10" t="e">
        <f>'Fertilizer &amp; Pesticide demand'!#REF!</f>
        <v>#REF!</v>
      </c>
      <c r="BE29" s="10" t="e">
        <f>'Fertilizer &amp; Pesticide demand'!#REF!</f>
        <v>#REF!</v>
      </c>
      <c r="BF29" s="10" t="e">
        <f>'Fertilizer &amp; Pesticide demand'!#REF!</f>
        <v>#REF!</v>
      </c>
      <c r="BG29" s="10" t="str">
        <f>'Fertilizer &amp; Pesticide demand'!K29</f>
        <v>No</v>
      </c>
      <c r="BH29" s="10">
        <f>'Fertilizer &amp; Pesticide demand'!L29</f>
        <v>0</v>
      </c>
      <c r="BI29" s="10">
        <f>'Fertilizer &amp; Pesticide demand'!M29</f>
        <v>0</v>
      </c>
      <c r="BJ29" s="10" t="str">
        <f>'Fertilizer &amp; Pesticide demand'!N29</f>
        <v>Yes</v>
      </c>
      <c r="BK29" s="10">
        <f>'Fertilizer &amp; Pesticide demand'!O29</f>
        <v>1</v>
      </c>
      <c r="BL29" s="10" t="str">
        <f>'Fertilizer &amp; Pesticide demand'!P29</f>
        <v>Packet</v>
      </c>
    </row>
    <row r="30" spans="1:64" ht="20.100000000000001" customHeight="1" x14ac:dyDescent="0.25">
      <c r="A30" s="6">
        <f t="shared" si="1"/>
        <v>28</v>
      </c>
      <c r="B30" s="12" t="s">
        <v>16</v>
      </c>
      <c r="C30" s="28" t="s">
        <v>106</v>
      </c>
      <c r="D30" s="4"/>
      <c r="E30" s="6" t="s">
        <v>29</v>
      </c>
      <c r="F30" s="6" t="s">
        <v>13</v>
      </c>
      <c r="G30" s="6" t="s">
        <v>237</v>
      </c>
      <c r="H30" s="6" t="s">
        <v>228</v>
      </c>
      <c r="I30" s="6" t="s">
        <v>29</v>
      </c>
      <c r="J30" s="10" t="s">
        <v>173</v>
      </c>
      <c r="K30" s="6">
        <v>200</v>
      </c>
      <c r="L30" s="6" t="s">
        <v>29</v>
      </c>
      <c r="M30" s="6" t="s">
        <v>180</v>
      </c>
      <c r="N30" s="6">
        <v>1</v>
      </c>
      <c r="O30" s="6" t="s">
        <v>191</v>
      </c>
      <c r="P30" s="6" t="s">
        <v>31</v>
      </c>
      <c r="Q30" s="6" t="s">
        <v>229</v>
      </c>
      <c r="R30" s="6" t="s">
        <v>229</v>
      </c>
      <c r="S30" s="6" t="s">
        <v>229</v>
      </c>
      <c r="T30" s="6" t="s">
        <v>31</v>
      </c>
      <c r="U30" s="6" t="s">
        <v>229</v>
      </c>
      <c r="V30" s="6" t="s">
        <v>229</v>
      </c>
      <c r="W30" s="6" t="s">
        <v>31</v>
      </c>
      <c r="X30" s="6" t="s">
        <v>229</v>
      </c>
      <c r="Y30" s="6" t="s">
        <v>229</v>
      </c>
      <c r="Z30" s="6" t="s">
        <v>31</v>
      </c>
      <c r="AA30" s="6" t="s">
        <v>229</v>
      </c>
      <c r="AB30" s="6" t="s">
        <v>229</v>
      </c>
      <c r="AC30" s="6" t="s">
        <v>31</v>
      </c>
      <c r="AD30" s="6" t="s">
        <v>229</v>
      </c>
      <c r="AE30" s="6" t="s">
        <v>229</v>
      </c>
      <c r="AF30" s="6" t="s">
        <v>31</v>
      </c>
      <c r="AG30" s="6" t="s">
        <v>229</v>
      </c>
      <c r="AH30" s="6" t="s">
        <v>229</v>
      </c>
      <c r="AI30" s="6" t="s">
        <v>31</v>
      </c>
      <c r="AJ30" s="6" t="s">
        <v>229</v>
      </c>
      <c r="AK30" s="6" t="s">
        <v>229</v>
      </c>
      <c r="AL30" s="4"/>
      <c r="AM30" s="7"/>
      <c r="AN30" s="7"/>
      <c r="AO30" s="4"/>
      <c r="AP30" s="7"/>
      <c r="AQ30" s="7"/>
      <c r="AR30" s="4"/>
      <c r="AS30" s="7"/>
      <c r="AT30" s="7"/>
      <c r="AU30" s="6">
        <v>1</v>
      </c>
      <c r="AV30" s="6" t="s">
        <v>230</v>
      </c>
      <c r="AW30" s="6">
        <v>16</v>
      </c>
      <c r="AX30" s="6" t="s">
        <v>231</v>
      </c>
      <c r="AY30" s="6">
        <v>4</v>
      </c>
      <c r="AZ30" s="6" t="s">
        <v>231</v>
      </c>
      <c r="BA30" s="23" t="str">
        <f>'Fertilizer &amp; Pesticide demand'!H30</f>
        <v>Yes</v>
      </c>
      <c r="BB30" s="23">
        <f>'Fertilizer &amp; Pesticide demand'!I30</f>
        <v>1</v>
      </c>
      <c r="BC30" s="23" t="str">
        <f>'Fertilizer &amp; Pesticide demand'!J30</f>
        <v>Packets</v>
      </c>
      <c r="BD30" s="10" t="e">
        <f>'Fertilizer &amp; Pesticide demand'!#REF!</f>
        <v>#REF!</v>
      </c>
      <c r="BE30" s="10" t="e">
        <f>'Fertilizer &amp; Pesticide demand'!#REF!</f>
        <v>#REF!</v>
      </c>
      <c r="BF30" s="10" t="e">
        <f>'Fertilizer &amp; Pesticide demand'!#REF!</f>
        <v>#REF!</v>
      </c>
      <c r="BG30" s="10" t="str">
        <f>'Fertilizer &amp; Pesticide demand'!K30</f>
        <v>No</v>
      </c>
      <c r="BH30" s="10">
        <f>'Fertilizer &amp; Pesticide demand'!L30</f>
        <v>0</v>
      </c>
      <c r="BI30" s="10">
        <f>'Fertilizer &amp; Pesticide demand'!M30</f>
        <v>0</v>
      </c>
      <c r="BJ30" s="10" t="str">
        <f>'Fertilizer &amp; Pesticide demand'!N30</f>
        <v>Yes</v>
      </c>
      <c r="BK30" s="10">
        <f>'Fertilizer &amp; Pesticide demand'!O30</f>
        <v>1</v>
      </c>
      <c r="BL30" s="10" t="str">
        <f>'Fertilizer &amp; Pesticide demand'!P30</f>
        <v>Packet</v>
      </c>
    </row>
    <row r="31" spans="1:64" ht="20.100000000000001" customHeight="1" x14ac:dyDescent="0.25">
      <c r="A31" s="6">
        <f t="shared" si="1"/>
        <v>29</v>
      </c>
      <c r="B31" s="12" t="s">
        <v>16</v>
      </c>
      <c r="C31" s="28" t="s">
        <v>106</v>
      </c>
      <c r="D31" s="4"/>
      <c r="E31" s="6" t="s">
        <v>29</v>
      </c>
      <c r="F31" s="6" t="s">
        <v>13</v>
      </c>
      <c r="G31" s="6" t="s">
        <v>237</v>
      </c>
      <c r="H31" s="6" t="s">
        <v>228</v>
      </c>
      <c r="I31" s="6" t="s">
        <v>29</v>
      </c>
      <c r="J31" s="10" t="s">
        <v>173</v>
      </c>
      <c r="K31" s="6">
        <v>200</v>
      </c>
      <c r="L31" s="6" t="s">
        <v>29</v>
      </c>
      <c r="M31" s="6" t="s">
        <v>180</v>
      </c>
      <c r="N31" s="6">
        <v>1</v>
      </c>
      <c r="O31" s="6" t="s">
        <v>191</v>
      </c>
      <c r="P31" s="6" t="s">
        <v>31</v>
      </c>
      <c r="Q31" s="6" t="s">
        <v>229</v>
      </c>
      <c r="R31" s="6" t="s">
        <v>229</v>
      </c>
      <c r="S31" s="6" t="s">
        <v>229</v>
      </c>
      <c r="T31" s="6" t="s">
        <v>31</v>
      </c>
      <c r="U31" s="6" t="s">
        <v>229</v>
      </c>
      <c r="V31" s="6" t="s">
        <v>229</v>
      </c>
      <c r="W31" s="6" t="s">
        <v>31</v>
      </c>
      <c r="X31" s="6" t="s">
        <v>229</v>
      </c>
      <c r="Y31" s="6" t="s">
        <v>229</v>
      </c>
      <c r="Z31" s="6" t="s">
        <v>31</v>
      </c>
      <c r="AA31" s="6" t="s">
        <v>229</v>
      </c>
      <c r="AB31" s="6" t="s">
        <v>229</v>
      </c>
      <c r="AC31" s="6" t="s">
        <v>31</v>
      </c>
      <c r="AD31" s="6" t="s">
        <v>229</v>
      </c>
      <c r="AE31" s="6" t="s">
        <v>229</v>
      </c>
      <c r="AF31" s="6" t="s">
        <v>31</v>
      </c>
      <c r="AG31" s="6" t="s">
        <v>229</v>
      </c>
      <c r="AH31" s="6" t="s">
        <v>229</v>
      </c>
      <c r="AI31" s="6" t="s">
        <v>31</v>
      </c>
      <c r="AJ31" s="6" t="s">
        <v>229</v>
      </c>
      <c r="AK31" s="6" t="s">
        <v>229</v>
      </c>
      <c r="AL31" s="4"/>
      <c r="AM31" s="7"/>
      <c r="AN31" s="7"/>
      <c r="AO31" s="4"/>
      <c r="AP31" s="7"/>
      <c r="AQ31" s="7"/>
      <c r="AR31" s="4"/>
      <c r="AS31" s="7"/>
      <c r="AT31" s="7"/>
      <c r="AU31" s="6">
        <v>1</v>
      </c>
      <c r="AV31" s="6" t="s">
        <v>230</v>
      </c>
      <c r="AW31" s="6">
        <v>16</v>
      </c>
      <c r="AX31" s="6" t="s">
        <v>231</v>
      </c>
      <c r="AY31" s="6">
        <v>4</v>
      </c>
      <c r="AZ31" s="6" t="s">
        <v>231</v>
      </c>
      <c r="BA31" s="23" t="str">
        <f>'Fertilizer &amp; Pesticide demand'!H31</f>
        <v>Yes</v>
      </c>
      <c r="BB31" s="23">
        <f>'Fertilizer &amp; Pesticide demand'!I31</f>
        <v>1</v>
      </c>
      <c r="BC31" s="23" t="str">
        <f>'Fertilizer &amp; Pesticide demand'!J31</f>
        <v>Packets</v>
      </c>
      <c r="BD31" s="10" t="e">
        <f>'Fertilizer &amp; Pesticide demand'!#REF!</f>
        <v>#REF!</v>
      </c>
      <c r="BE31" s="10" t="e">
        <f>'Fertilizer &amp; Pesticide demand'!#REF!</f>
        <v>#REF!</v>
      </c>
      <c r="BF31" s="10" t="e">
        <f>'Fertilizer &amp; Pesticide demand'!#REF!</f>
        <v>#REF!</v>
      </c>
      <c r="BG31" s="10" t="str">
        <f>'Fertilizer &amp; Pesticide demand'!K31</f>
        <v>No</v>
      </c>
      <c r="BH31" s="10">
        <f>'Fertilizer &amp; Pesticide demand'!L31</f>
        <v>0</v>
      </c>
      <c r="BI31" s="10">
        <f>'Fertilizer &amp; Pesticide demand'!M31</f>
        <v>0</v>
      </c>
      <c r="BJ31" s="10" t="str">
        <f>'Fertilizer &amp; Pesticide demand'!N31</f>
        <v>Yes</v>
      </c>
      <c r="BK31" s="10">
        <f>'Fertilizer &amp; Pesticide demand'!O31</f>
        <v>1</v>
      </c>
      <c r="BL31" s="10" t="str">
        <f>'Fertilizer &amp; Pesticide demand'!P31</f>
        <v>Packet</v>
      </c>
    </row>
    <row r="32" spans="1:64" ht="20.100000000000001" customHeight="1" x14ac:dyDescent="0.25">
      <c r="A32" s="6">
        <f t="shared" si="1"/>
        <v>30</v>
      </c>
      <c r="B32" s="12" t="s">
        <v>16</v>
      </c>
      <c r="C32" s="28" t="s">
        <v>107</v>
      </c>
      <c r="D32" s="4"/>
      <c r="E32" s="6" t="s">
        <v>29</v>
      </c>
      <c r="F32" s="6" t="s">
        <v>13</v>
      </c>
      <c r="G32" s="6" t="s">
        <v>237</v>
      </c>
      <c r="H32" s="6" t="s">
        <v>228</v>
      </c>
      <c r="I32" s="6" t="s">
        <v>29</v>
      </c>
      <c r="J32" s="10" t="s">
        <v>173</v>
      </c>
      <c r="K32" s="6">
        <v>200</v>
      </c>
      <c r="L32" s="6" t="s">
        <v>29</v>
      </c>
      <c r="M32" s="6" t="s">
        <v>180</v>
      </c>
      <c r="N32" s="6">
        <v>1</v>
      </c>
      <c r="O32" s="6" t="s">
        <v>191</v>
      </c>
      <c r="P32" s="6" t="s">
        <v>31</v>
      </c>
      <c r="Q32" s="6" t="s">
        <v>229</v>
      </c>
      <c r="R32" s="6" t="s">
        <v>229</v>
      </c>
      <c r="S32" s="6" t="s">
        <v>229</v>
      </c>
      <c r="T32" s="6" t="s">
        <v>31</v>
      </c>
      <c r="U32" s="6" t="s">
        <v>229</v>
      </c>
      <c r="V32" s="6" t="s">
        <v>229</v>
      </c>
      <c r="W32" s="6" t="s">
        <v>31</v>
      </c>
      <c r="X32" s="6" t="s">
        <v>229</v>
      </c>
      <c r="Y32" s="6" t="s">
        <v>229</v>
      </c>
      <c r="Z32" s="6" t="s">
        <v>31</v>
      </c>
      <c r="AA32" s="6" t="s">
        <v>229</v>
      </c>
      <c r="AB32" s="6" t="s">
        <v>229</v>
      </c>
      <c r="AC32" s="6" t="s">
        <v>31</v>
      </c>
      <c r="AD32" s="6" t="s">
        <v>229</v>
      </c>
      <c r="AE32" s="6" t="s">
        <v>229</v>
      </c>
      <c r="AF32" s="6" t="s">
        <v>31</v>
      </c>
      <c r="AG32" s="6" t="s">
        <v>229</v>
      </c>
      <c r="AH32" s="6" t="s">
        <v>229</v>
      </c>
      <c r="AI32" s="6" t="s">
        <v>31</v>
      </c>
      <c r="AJ32" s="6" t="s">
        <v>229</v>
      </c>
      <c r="AK32" s="6" t="s">
        <v>229</v>
      </c>
      <c r="AL32" s="4"/>
      <c r="AM32" s="7"/>
      <c r="AN32" s="7"/>
      <c r="AO32" s="4"/>
      <c r="AP32" s="7"/>
      <c r="AQ32" s="7"/>
      <c r="AR32" s="4"/>
      <c r="AS32" s="7"/>
      <c r="AT32" s="7"/>
      <c r="AU32" s="6">
        <v>1</v>
      </c>
      <c r="AV32" s="6" t="s">
        <v>230</v>
      </c>
      <c r="AW32" s="6">
        <v>16</v>
      </c>
      <c r="AX32" s="6" t="s">
        <v>231</v>
      </c>
      <c r="AY32" s="6">
        <v>4</v>
      </c>
      <c r="AZ32" s="6" t="s">
        <v>231</v>
      </c>
      <c r="BA32" s="23" t="str">
        <f>'Fertilizer &amp; Pesticide demand'!H32</f>
        <v>Yes</v>
      </c>
      <c r="BB32" s="23">
        <f>'Fertilizer &amp; Pesticide demand'!I32</f>
        <v>1</v>
      </c>
      <c r="BC32" s="23" t="str">
        <f>'Fertilizer &amp; Pesticide demand'!J32</f>
        <v>Packets</v>
      </c>
      <c r="BD32" s="10" t="e">
        <f>'Fertilizer &amp; Pesticide demand'!#REF!</f>
        <v>#REF!</v>
      </c>
      <c r="BE32" s="10" t="e">
        <f>'Fertilizer &amp; Pesticide demand'!#REF!</f>
        <v>#REF!</v>
      </c>
      <c r="BF32" s="10" t="e">
        <f>'Fertilizer &amp; Pesticide demand'!#REF!</f>
        <v>#REF!</v>
      </c>
      <c r="BG32" s="10" t="str">
        <f>'Fertilizer &amp; Pesticide demand'!K32</f>
        <v>No</v>
      </c>
      <c r="BH32" s="10">
        <f>'Fertilizer &amp; Pesticide demand'!L32</f>
        <v>0</v>
      </c>
      <c r="BI32" s="10">
        <f>'Fertilizer &amp; Pesticide demand'!M32</f>
        <v>0</v>
      </c>
      <c r="BJ32" s="10" t="str">
        <f>'Fertilizer &amp; Pesticide demand'!N32</f>
        <v>Yes</v>
      </c>
      <c r="BK32" s="10">
        <f>'Fertilizer &amp; Pesticide demand'!O32</f>
        <v>1</v>
      </c>
      <c r="BL32" s="10" t="str">
        <f>'Fertilizer &amp; Pesticide demand'!P32</f>
        <v>Packet</v>
      </c>
    </row>
    <row r="33" spans="1:64" ht="20.100000000000001" customHeight="1" x14ac:dyDescent="0.25">
      <c r="A33" s="6">
        <f t="shared" si="1"/>
        <v>31</v>
      </c>
      <c r="B33" s="12" t="s">
        <v>16</v>
      </c>
      <c r="C33" s="28" t="s">
        <v>118</v>
      </c>
      <c r="D33" s="4"/>
      <c r="E33" s="6" t="s">
        <v>31</v>
      </c>
      <c r="F33" s="6" t="s">
        <v>13</v>
      </c>
      <c r="G33" s="6" t="s">
        <v>237</v>
      </c>
      <c r="H33" s="6" t="s">
        <v>228</v>
      </c>
      <c r="I33" s="6" t="s">
        <v>29</v>
      </c>
      <c r="J33" s="10" t="s">
        <v>173</v>
      </c>
      <c r="K33" s="6">
        <v>200</v>
      </c>
      <c r="L33" s="6" t="s">
        <v>29</v>
      </c>
      <c r="M33" s="6" t="s">
        <v>180</v>
      </c>
      <c r="N33" s="6">
        <v>1</v>
      </c>
      <c r="O33" s="6" t="s">
        <v>191</v>
      </c>
      <c r="P33" s="6" t="s">
        <v>31</v>
      </c>
      <c r="Q33" s="6" t="s">
        <v>229</v>
      </c>
      <c r="R33" s="6" t="s">
        <v>229</v>
      </c>
      <c r="S33" s="6" t="s">
        <v>229</v>
      </c>
      <c r="T33" s="6" t="s">
        <v>31</v>
      </c>
      <c r="U33" s="6" t="s">
        <v>229</v>
      </c>
      <c r="V33" s="6" t="s">
        <v>229</v>
      </c>
      <c r="W33" s="6" t="s">
        <v>31</v>
      </c>
      <c r="X33" s="6" t="s">
        <v>229</v>
      </c>
      <c r="Y33" s="6" t="s">
        <v>229</v>
      </c>
      <c r="Z33" s="6" t="s">
        <v>31</v>
      </c>
      <c r="AA33" s="6" t="s">
        <v>229</v>
      </c>
      <c r="AB33" s="6" t="s">
        <v>229</v>
      </c>
      <c r="AC33" s="6" t="s">
        <v>31</v>
      </c>
      <c r="AD33" s="6" t="s">
        <v>229</v>
      </c>
      <c r="AE33" s="6" t="s">
        <v>229</v>
      </c>
      <c r="AF33" s="6" t="s">
        <v>31</v>
      </c>
      <c r="AG33" s="6" t="s">
        <v>229</v>
      </c>
      <c r="AH33" s="6" t="s">
        <v>229</v>
      </c>
      <c r="AI33" s="6" t="s">
        <v>31</v>
      </c>
      <c r="AJ33" s="6" t="s">
        <v>229</v>
      </c>
      <c r="AK33" s="6" t="s">
        <v>229</v>
      </c>
      <c r="AL33" s="4"/>
      <c r="AM33" s="7"/>
      <c r="AN33" s="7"/>
      <c r="AO33" s="4"/>
      <c r="AP33" s="7"/>
      <c r="AQ33" s="7"/>
      <c r="AR33" s="4"/>
      <c r="AS33" s="7"/>
      <c r="AT33" s="7"/>
      <c r="AU33" s="6">
        <v>1</v>
      </c>
      <c r="AV33" s="6" t="s">
        <v>230</v>
      </c>
      <c r="AW33" s="6">
        <v>16</v>
      </c>
      <c r="AX33" s="6" t="s">
        <v>231</v>
      </c>
      <c r="AY33" s="6">
        <v>4</v>
      </c>
      <c r="AZ33" s="6" t="s">
        <v>231</v>
      </c>
      <c r="BA33" s="23" t="str">
        <f>'Fertilizer &amp; Pesticide demand'!H33</f>
        <v>Yes</v>
      </c>
      <c r="BB33" s="23">
        <f>'Fertilizer &amp; Pesticide demand'!I33</f>
        <v>1</v>
      </c>
      <c r="BC33" s="23" t="str">
        <f>'Fertilizer &amp; Pesticide demand'!J33</f>
        <v>Packets</v>
      </c>
      <c r="BD33" s="10" t="e">
        <f>'Fertilizer &amp; Pesticide demand'!#REF!</f>
        <v>#REF!</v>
      </c>
      <c r="BE33" s="10" t="e">
        <f>'Fertilizer &amp; Pesticide demand'!#REF!</f>
        <v>#REF!</v>
      </c>
      <c r="BF33" s="10" t="e">
        <f>'Fertilizer &amp; Pesticide demand'!#REF!</f>
        <v>#REF!</v>
      </c>
      <c r="BG33" s="10" t="str">
        <f>'Fertilizer &amp; Pesticide demand'!K33</f>
        <v>No</v>
      </c>
      <c r="BH33" s="10">
        <f>'Fertilizer &amp; Pesticide demand'!L33</f>
        <v>0</v>
      </c>
      <c r="BI33" s="10">
        <f>'Fertilizer &amp; Pesticide demand'!M33</f>
        <v>0</v>
      </c>
      <c r="BJ33" s="10" t="str">
        <f>'Fertilizer &amp; Pesticide demand'!N33</f>
        <v>Yes</v>
      </c>
      <c r="BK33" s="10">
        <f>'Fertilizer &amp; Pesticide demand'!O33</f>
        <v>1</v>
      </c>
      <c r="BL33" s="10" t="str">
        <f>'Fertilizer &amp; Pesticide demand'!P33</f>
        <v>Packet</v>
      </c>
    </row>
    <row r="34" spans="1:64" ht="20.100000000000001" customHeight="1" x14ac:dyDescent="0.25">
      <c r="A34" s="6">
        <f t="shared" si="1"/>
        <v>32</v>
      </c>
      <c r="B34" s="12" t="s">
        <v>16</v>
      </c>
      <c r="C34" s="28" t="s">
        <v>43</v>
      </c>
      <c r="D34" s="4"/>
      <c r="E34" s="6" t="s">
        <v>31</v>
      </c>
      <c r="F34" s="6" t="s">
        <v>13</v>
      </c>
      <c r="G34" s="6" t="s">
        <v>238</v>
      </c>
      <c r="H34" s="6" t="s">
        <v>228</v>
      </c>
      <c r="I34" s="6" t="s">
        <v>29</v>
      </c>
      <c r="J34" s="10" t="s">
        <v>173</v>
      </c>
      <c r="K34" s="6">
        <v>200</v>
      </c>
      <c r="L34" s="6" t="s">
        <v>29</v>
      </c>
      <c r="M34" s="6" t="s">
        <v>180</v>
      </c>
      <c r="N34" s="6">
        <v>1</v>
      </c>
      <c r="O34" s="6" t="s">
        <v>191</v>
      </c>
      <c r="P34" s="6" t="s">
        <v>31</v>
      </c>
      <c r="Q34" s="6" t="s">
        <v>229</v>
      </c>
      <c r="R34" s="6" t="s">
        <v>229</v>
      </c>
      <c r="S34" s="6" t="s">
        <v>229</v>
      </c>
      <c r="T34" s="6" t="s">
        <v>31</v>
      </c>
      <c r="U34" s="6" t="s">
        <v>229</v>
      </c>
      <c r="V34" s="6" t="s">
        <v>229</v>
      </c>
      <c r="W34" s="6" t="s">
        <v>31</v>
      </c>
      <c r="X34" s="6" t="s">
        <v>229</v>
      </c>
      <c r="Y34" s="6" t="s">
        <v>229</v>
      </c>
      <c r="Z34" s="6" t="s">
        <v>31</v>
      </c>
      <c r="AA34" s="6" t="s">
        <v>229</v>
      </c>
      <c r="AB34" s="6" t="s">
        <v>229</v>
      </c>
      <c r="AC34" s="6" t="s">
        <v>31</v>
      </c>
      <c r="AD34" s="6" t="s">
        <v>229</v>
      </c>
      <c r="AE34" s="6" t="s">
        <v>229</v>
      </c>
      <c r="AF34" s="6" t="s">
        <v>31</v>
      </c>
      <c r="AG34" s="6" t="s">
        <v>229</v>
      </c>
      <c r="AH34" s="6" t="s">
        <v>229</v>
      </c>
      <c r="AI34" s="6" t="s">
        <v>31</v>
      </c>
      <c r="AJ34" s="6" t="s">
        <v>229</v>
      </c>
      <c r="AK34" s="6" t="s">
        <v>229</v>
      </c>
      <c r="AL34" s="4"/>
      <c r="AM34" s="7"/>
      <c r="AN34" s="7"/>
      <c r="AO34" s="4"/>
      <c r="AP34" s="7"/>
      <c r="AQ34" s="7"/>
      <c r="AR34" s="4"/>
      <c r="AS34" s="7"/>
      <c r="AT34" s="7"/>
      <c r="AU34" s="6">
        <v>1</v>
      </c>
      <c r="AV34" s="6" t="s">
        <v>230</v>
      </c>
      <c r="AW34" s="6">
        <v>16</v>
      </c>
      <c r="AX34" s="6" t="s">
        <v>231</v>
      </c>
      <c r="AY34" s="6">
        <v>4</v>
      </c>
      <c r="AZ34" s="6" t="s">
        <v>231</v>
      </c>
      <c r="BA34" s="23" t="str">
        <f>'Fertilizer &amp; Pesticide demand'!H34</f>
        <v>Yes</v>
      </c>
      <c r="BB34" s="23">
        <f>'Fertilizer &amp; Pesticide demand'!I34</f>
        <v>1</v>
      </c>
      <c r="BC34" s="23" t="str">
        <f>'Fertilizer &amp; Pesticide demand'!J34</f>
        <v>Packets</v>
      </c>
      <c r="BD34" s="10" t="e">
        <f>'Fertilizer &amp; Pesticide demand'!#REF!</f>
        <v>#REF!</v>
      </c>
      <c r="BE34" s="10" t="e">
        <f>'Fertilizer &amp; Pesticide demand'!#REF!</f>
        <v>#REF!</v>
      </c>
      <c r="BF34" s="10" t="e">
        <f>'Fertilizer &amp; Pesticide demand'!#REF!</f>
        <v>#REF!</v>
      </c>
      <c r="BG34" s="10" t="str">
        <f>'Fertilizer &amp; Pesticide demand'!K34</f>
        <v>No</v>
      </c>
      <c r="BH34" s="10">
        <f>'Fertilizer &amp; Pesticide demand'!L34</f>
        <v>0</v>
      </c>
      <c r="BI34" s="10">
        <f>'Fertilizer &amp; Pesticide demand'!M34</f>
        <v>0</v>
      </c>
      <c r="BJ34" s="10" t="str">
        <f>'Fertilizer &amp; Pesticide demand'!N34</f>
        <v>Yes</v>
      </c>
      <c r="BK34" s="10">
        <f>'Fertilizer &amp; Pesticide demand'!O34</f>
        <v>1</v>
      </c>
      <c r="BL34" s="10" t="str">
        <f>'Fertilizer &amp; Pesticide demand'!P34</f>
        <v>Packet</v>
      </c>
    </row>
    <row r="35" spans="1:64" ht="20.100000000000001" customHeight="1" x14ac:dyDescent="0.25">
      <c r="A35" s="6">
        <f t="shared" si="1"/>
        <v>33</v>
      </c>
      <c r="B35" s="12" t="s">
        <v>16</v>
      </c>
      <c r="C35" s="28" t="s">
        <v>47</v>
      </c>
      <c r="D35" s="4"/>
      <c r="E35" s="6" t="s">
        <v>31</v>
      </c>
      <c r="F35" s="6" t="s">
        <v>13</v>
      </c>
      <c r="G35" s="6" t="s">
        <v>238</v>
      </c>
      <c r="H35" s="6" t="s">
        <v>228</v>
      </c>
      <c r="I35" s="6" t="s">
        <v>29</v>
      </c>
      <c r="J35" s="10" t="s">
        <v>173</v>
      </c>
      <c r="K35" s="6">
        <v>200</v>
      </c>
      <c r="L35" s="6" t="s">
        <v>29</v>
      </c>
      <c r="M35" s="6" t="s">
        <v>180</v>
      </c>
      <c r="N35" s="6">
        <v>1</v>
      </c>
      <c r="O35" s="6" t="s">
        <v>191</v>
      </c>
      <c r="P35" s="6" t="s">
        <v>31</v>
      </c>
      <c r="Q35" s="6" t="s">
        <v>229</v>
      </c>
      <c r="R35" s="6" t="s">
        <v>229</v>
      </c>
      <c r="S35" s="6" t="s">
        <v>229</v>
      </c>
      <c r="T35" s="6" t="s">
        <v>31</v>
      </c>
      <c r="U35" s="6" t="s">
        <v>229</v>
      </c>
      <c r="V35" s="6" t="s">
        <v>229</v>
      </c>
      <c r="W35" s="6" t="s">
        <v>31</v>
      </c>
      <c r="X35" s="6" t="s">
        <v>229</v>
      </c>
      <c r="Y35" s="6" t="s">
        <v>229</v>
      </c>
      <c r="Z35" s="6" t="s">
        <v>31</v>
      </c>
      <c r="AA35" s="6" t="s">
        <v>229</v>
      </c>
      <c r="AB35" s="6" t="s">
        <v>229</v>
      </c>
      <c r="AC35" s="6" t="s">
        <v>31</v>
      </c>
      <c r="AD35" s="6" t="s">
        <v>229</v>
      </c>
      <c r="AE35" s="6" t="s">
        <v>229</v>
      </c>
      <c r="AF35" s="6" t="s">
        <v>31</v>
      </c>
      <c r="AG35" s="6" t="s">
        <v>229</v>
      </c>
      <c r="AH35" s="6" t="s">
        <v>229</v>
      </c>
      <c r="AI35" s="6" t="s">
        <v>31</v>
      </c>
      <c r="AJ35" s="6" t="s">
        <v>229</v>
      </c>
      <c r="AK35" s="6" t="s">
        <v>229</v>
      </c>
      <c r="AL35" s="4"/>
      <c r="AM35" s="7"/>
      <c r="AN35" s="7"/>
      <c r="AO35" s="4"/>
      <c r="AP35" s="7"/>
      <c r="AQ35" s="7"/>
      <c r="AR35" s="4"/>
      <c r="AS35" s="7"/>
      <c r="AT35" s="7"/>
      <c r="AU35" s="6">
        <v>1</v>
      </c>
      <c r="AV35" s="6" t="s">
        <v>230</v>
      </c>
      <c r="AW35" s="6">
        <v>16</v>
      </c>
      <c r="AX35" s="6" t="s">
        <v>231</v>
      </c>
      <c r="AY35" s="6">
        <v>4</v>
      </c>
      <c r="AZ35" s="6" t="s">
        <v>231</v>
      </c>
      <c r="BA35" s="23" t="str">
        <f>'Fertilizer &amp; Pesticide demand'!H35</f>
        <v>Yes</v>
      </c>
      <c r="BB35" s="23">
        <f>'Fertilizer &amp; Pesticide demand'!I35</f>
        <v>1</v>
      </c>
      <c r="BC35" s="23" t="str">
        <f>'Fertilizer &amp; Pesticide demand'!J35</f>
        <v>Packets</v>
      </c>
      <c r="BD35" s="10" t="e">
        <f>'Fertilizer &amp; Pesticide demand'!#REF!</f>
        <v>#REF!</v>
      </c>
      <c r="BE35" s="10" t="e">
        <f>'Fertilizer &amp; Pesticide demand'!#REF!</f>
        <v>#REF!</v>
      </c>
      <c r="BF35" s="10" t="e">
        <f>'Fertilizer &amp; Pesticide demand'!#REF!</f>
        <v>#REF!</v>
      </c>
      <c r="BG35" s="10" t="str">
        <f>'Fertilizer &amp; Pesticide demand'!K35</f>
        <v>No</v>
      </c>
      <c r="BH35" s="10">
        <f>'Fertilizer &amp; Pesticide demand'!L35</f>
        <v>0</v>
      </c>
      <c r="BI35" s="10">
        <f>'Fertilizer &amp; Pesticide demand'!M35</f>
        <v>0</v>
      </c>
      <c r="BJ35" s="10" t="str">
        <f>'Fertilizer &amp; Pesticide demand'!N35</f>
        <v>Yes</v>
      </c>
      <c r="BK35" s="10">
        <f>'Fertilizer &amp; Pesticide demand'!O35</f>
        <v>1</v>
      </c>
      <c r="BL35" s="10" t="str">
        <f>'Fertilizer &amp; Pesticide demand'!P35</f>
        <v>Packet</v>
      </c>
    </row>
    <row r="36" spans="1:64" ht="20.100000000000001" customHeight="1" x14ac:dyDescent="0.25">
      <c r="A36" s="6">
        <f t="shared" si="1"/>
        <v>34</v>
      </c>
      <c r="B36" s="12" t="s">
        <v>16</v>
      </c>
      <c r="C36" s="28" t="s">
        <v>50</v>
      </c>
      <c r="D36" s="4"/>
      <c r="E36" s="6" t="s">
        <v>31</v>
      </c>
      <c r="F36" s="6" t="s">
        <v>13</v>
      </c>
      <c r="G36" s="6" t="s">
        <v>238</v>
      </c>
      <c r="H36" s="6" t="s">
        <v>228</v>
      </c>
      <c r="I36" s="6" t="s">
        <v>29</v>
      </c>
      <c r="J36" s="10" t="s">
        <v>173</v>
      </c>
      <c r="K36" s="6">
        <v>200</v>
      </c>
      <c r="L36" s="6" t="s">
        <v>29</v>
      </c>
      <c r="M36" s="6" t="s">
        <v>180</v>
      </c>
      <c r="N36" s="6">
        <v>1</v>
      </c>
      <c r="O36" s="6" t="s">
        <v>191</v>
      </c>
      <c r="P36" s="6" t="s">
        <v>31</v>
      </c>
      <c r="Q36" s="6" t="s">
        <v>229</v>
      </c>
      <c r="R36" s="6" t="s">
        <v>229</v>
      </c>
      <c r="S36" s="6" t="s">
        <v>229</v>
      </c>
      <c r="T36" s="6" t="s">
        <v>31</v>
      </c>
      <c r="U36" s="6" t="s">
        <v>229</v>
      </c>
      <c r="V36" s="6" t="s">
        <v>229</v>
      </c>
      <c r="W36" s="6" t="s">
        <v>31</v>
      </c>
      <c r="X36" s="6" t="s">
        <v>229</v>
      </c>
      <c r="Y36" s="6" t="s">
        <v>229</v>
      </c>
      <c r="Z36" s="6" t="s">
        <v>31</v>
      </c>
      <c r="AA36" s="6" t="s">
        <v>229</v>
      </c>
      <c r="AB36" s="6" t="s">
        <v>229</v>
      </c>
      <c r="AC36" s="6" t="s">
        <v>31</v>
      </c>
      <c r="AD36" s="6" t="s">
        <v>229</v>
      </c>
      <c r="AE36" s="6" t="s">
        <v>229</v>
      </c>
      <c r="AF36" s="6" t="s">
        <v>31</v>
      </c>
      <c r="AG36" s="6" t="s">
        <v>229</v>
      </c>
      <c r="AH36" s="6" t="s">
        <v>229</v>
      </c>
      <c r="AI36" s="6" t="s">
        <v>31</v>
      </c>
      <c r="AJ36" s="6" t="s">
        <v>229</v>
      </c>
      <c r="AK36" s="6" t="s">
        <v>229</v>
      </c>
      <c r="AL36" s="4"/>
      <c r="AM36" s="7"/>
      <c r="AN36" s="7"/>
      <c r="AO36" s="4"/>
      <c r="AP36" s="7"/>
      <c r="AQ36" s="7"/>
      <c r="AR36" s="4"/>
      <c r="AS36" s="7"/>
      <c r="AT36" s="7"/>
      <c r="AU36" s="6">
        <v>1</v>
      </c>
      <c r="AV36" s="6" t="s">
        <v>230</v>
      </c>
      <c r="AW36" s="6">
        <v>16</v>
      </c>
      <c r="AX36" s="6" t="s">
        <v>231</v>
      </c>
      <c r="AY36" s="6">
        <v>4</v>
      </c>
      <c r="AZ36" s="6" t="s">
        <v>231</v>
      </c>
      <c r="BA36" s="23" t="str">
        <f>'Fertilizer &amp; Pesticide demand'!H36</f>
        <v>Yes</v>
      </c>
      <c r="BB36" s="23">
        <f>'Fertilizer &amp; Pesticide demand'!I36</f>
        <v>1</v>
      </c>
      <c r="BC36" s="23" t="str">
        <f>'Fertilizer &amp; Pesticide demand'!J36</f>
        <v>Packets</v>
      </c>
      <c r="BD36" s="10" t="e">
        <f>'Fertilizer &amp; Pesticide demand'!#REF!</f>
        <v>#REF!</v>
      </c>
      <c r="BE36" s="10" t="e">
        <f>'Fertilizer &amp; Pesticide demand'!#REF!</f>
        <v>#REF!</v>
      </c>
      <c r="BF36" s="10" t="e">
        <f>'Fertilizer &amp; Pesticide demand'!#REF!</f>
        <v>#REF!</v>
      </c>
      <c r="BG36" s="10" t="str">
        <f>'Fertilizer &amp; Pesticide demand'!K36</f>
        <v>No</v>
      </c>
      <c r="BH36" s="10">
        <f>'Fertilizer &amp; Pesticide demand'!L36</f>
        <v>0</v>
      </c>
      <c r="BI36" s="10">
        <f>'Fertilizer &amp; Pesticide demand'!M36</f>
        <v>0</v>
      </c>
      <c r="BJ36" s="10" t="str">
        <f>'Fertilizer &amp; Pesticide demand'!N36</f>
        <v>Yes</v>
      </c>
      <c r="BK36" s="10">
        <f>'Fertilizer &amp; Pesticide demand'!O36</f>
        <v>1</v>
      </c>
      <c r="BL36" s="10" t="str">
        <f>'Fertilizer &amp; Pesticide demand'!P36</f>
        <v>Packet</v>
      </c>
    </row>
    <row r="37" spans="1:64" ht="20.100000000000001" customHeight="1" x14ac:dyDescent="0.25">
      <c r="A37" s="6">
        <f t="shared" si="1"/>
        <v>35</v>
      </c>
      <c r="B37" s="12" t="s">
        <v>16</v>
      </c>
      <c r="C37" s="28" t="s">
        <v>53</v>
      </c>
      <c r="D37" s="4"/>
      <c r="E37" s="6" t="s">
        <v>31</v>
      </c>
      <c r="F37" s="6" t="s">
        <v>13</v>
      </c>
      <c r="G37" s="6" t="s">
        <v>238</v>
      </c>
      <c r="H37" s="6" t="s">
        <v>228</v>
      </c>
      <c r="I37" s="6" t="s">
        <v>29</v>
      </c>
      <c r="J37" s="10" t="s">
        <v>173</v>
      </c>
      <c r="K37" s="6">
        <v>200</v>
      </c>
      <c r="L37" s="6" t="s">
        <v>29</v>
      </c>
      <c r="M37" s="6" t="s">
        <v>180</v>
      </c>
      <c r="N37" s="6">
        <v>1</v>
      </c>
      <c r="O37" s="6" t="s">
        <v>191</v>
      </c>
      <c r="P37" s="6" t="s">
        <v>31</v>
      </c>
      <c r="Q37" s="6" t="s">
        <v>229</v>
      </c>
      <c r="R37" s="6" t="s">
        <v>229</v>
      </c>
      <c r="S37" s="6" t="s">
        <v>229</v>
      </c>
      <c r="T37" s="6" t="s">
        <v>31</v>
      </c>
      <c r="U37" s="6" t="s">
        <v>229</v>
      </c>
      <c r="V37" s="6" t="s">
        <v>229</v>
      </c>
      <c r="W37" s="6" t="s">
        <v>31</v>
      </c>
      <c r="X37" s="6" t="s">
        <v>229</v>
      </c>
      <c r="Y37" s="6" t="s">
        <v>229</v>
      </c>
      <c r="Z37" s="6" t="s">
        <v>31</v>
      </c>
      <c r="AA37" s="6" t="s">
        <v>229</v>
      </c>
      <c r="AB37" s="6" t="s">
        <v>229</v>
      </c>
      <c r="AC37" s="6" t="s">
        <v>31</v>
      </c>
      <c r="AD37" s="6" t="s">
        <v>229</v>
      </c>
      <c r="AE37" s="6" t="s">
        <v>229</v>
      </c>
      <c r="AF37" s="6" t="s">
        <v>31</v>
      </c>
      <c r="AG37" s="6" t="s">
        <v>229</v>
      </c>
      <c r="AH37" s="6" t="s">
        <v>229</v>
      </c>
      <c r="AI37" s="6" t="s">
        <v>31</v>
      </c>
      <c r="AJ37" s="6" t="s">
        <v>229</v>
      </c>
      <c r="AK37" s="6" t="s">
        <v>229</v>
      </c>
      <c r="AL37" s="4"/>
      <c r="AM37" s="7"/>
      <c r="AN37" s="7"/>
      <c r="AO37" s="4"/>
      <c r="AP37" s="7"/>
      <c r="AQ37" s="7"/>
      <c r="AR37" s="4"/>
      <c r="AS37" s="7"/>
      <c r="AT37" s="7"/>
      <c r="AU37" s="6">
        <v>1</v>
      </c>
      <c r="AV37" s="6" t="s">
        <v>230</v>
      </c>
      <c r="AW37" s="6">
        <v>16</v>
      </c>
      <c r="AX37" s="6" t="s">
        <v>231</v>
      </c>
      <c r="AY37" s="6">
        <v>4</v>
      </c>
      <c r="AZ37" s="6" t="s">
        <v>231</v>
      </c>
      <c r="BA37" s="23" t="str">
        <f>'Fertilizer &amp; Pesticide demand'!H37</f>
        <v>Yes</v>
      </c>
      <c r="BB37" s="23">
        <f>'Fertilizer &amp; Pesticide demand'!I37</f>
        <v>1</v>
      </c>
      <c r="BC37" s="23" t="str">
        <f>'Fertilizer &amp; Pesticide demand'!J37</f>
        <v>Packets</v>
      </c>
      <c r="BD37" s="10" t="e">
        <f>'Fertilizer &amp; Pesticide demand'!#REF!</f>
        <v>#REF!</v>
      </c>
      <c r="BE37" s="10" t="e">
        <f>'Fertilizer &amp; Pesticide demand'!#REF!</f>
        <v>#REF!</v>
      </c>
      <c r="BF37" s="10" t="e">
        <f>'Fertilizer &amp; Pesticide demand'!#REF!</f>
        <v>#REF!</v>
      </c>
      <c r="BG37" s="10" t="str">
        <f>'Fertilizer &amp; Pesticide demand'!K37</f>
        <v>No</v>
      </c>
      <c r="BH37" s="10">
        <f>'Fertilizer &amp; Pesticide demand'!L37</f>
        <v>0</v>
      </c>
      <c r="BI37" s="10">
        <f>'Fertilizer &amp; Pesticide demand'!M37</f>
        <v>0</v>
      </c>
      <c r="BJ37" s="10" t="str">
        <f>'Fertilizer &amp; Pesticide demand'!N37</f>
        <v>Yes</v>
      </c>
      <c r="BK37" s="10">
        <f>'Fertilizer &amp; Pesticide demand'!O37</f>
        <v>1</v>
      </c>
      <c r="BL37" s="10" t="str">
        <f>'Fertilizer &amp; Pesticide demand'!P37</f>
        <v>Packet</v>
      </c>
    </row>
    <row r="38" spans="1:64" ht="20.100000000000001" customHeight="1" x14ac:dyDescent="0.25">
      <c r="A38" s="6">
        <f t="shared" si="1"/>
        <v>36</v>
      </c>
      <c r="B38" s="12" t="s">
        <v>16</v>
      </c>
      <c r="C38" s="28" t="s">
        <v>64</v>
      </c>
      <c r="D38" s="4"/>
      <c r="E38" s="6" t="s">
        <v>31</v>
      </c>
      <c r="F38" s="6" t="s">
        <v>13</v>
      </c>
      <c r="G38" s="6" t="s">
        <v>238</v>
      </c>
      <c r="H38" s="6" t="s">
        <v>228</v>
      </c>
      <c r="I38" s="6" t="s">
        <v>29</v>
      </c>
      <c r="J38" s="10" t="s">
        <v>173</v>
      </c>
      <c r="K38" s="6">
        <v>200</v>
      </c>
      <c r="L38" s="6" t="s">
        <v>29</v>
      </c>
      <c r="M38" s="6" t="s">
        <v>180</v>
      </c>
      <c r="N38" s="6">
        <v>1</v>
      </c>
      <c r="O38" s="6" t="s">
        <v>191</v>
      </c>
      <c r="P38" s="6" t="s">
        <v>31</v>
      </c>
      <c r="Q38" s="6" t="s">
        <v>229</v>
      </c>
      <c r="R38" s="6" t="s">
        <v>229</v>
      </c>
      <c r="S38" s="6" t="s">
        <v>229</v>
      </c>
      <c r="T38" s="6" t="s">
        <v>31</v>
      </c>
      <c r="U38" s="6" t="s">
        <v>229</v>
      </c>
      <c r="V38" s="6" t="s">
        <v>229</v>
      </c>
      <c r="W38" s="6" t="s">
        <v>31</v>
      </c>
      <c r="X38" s="6" t="s">
        <v>229</v>
      </c>
      <c r="Y38" s="6" t="s">
        <v>229</v>
      </c>
      <c r="Z38" s="6" t="s">
        <v>31</v>
      </c>
      <c r="AA38" s="6" t="s">
        <v>229</v>
      </c>
      <c r="AB38" s="6" t="s">
        <v>229</v>
      </c>
      <c r="AC38" s="6" t="s">
        <v>31</v>
      </c>
      <c r="AD38" s="6" t="s">
        <v>229</v>
      </c>
      <c r="AE38" s="6" t="s">
        <v>229</v>
      </c>
      <c r="AF38" s="6" t="s">
        <v>31</v>
      </c>
      <c r="AG38" s="6" t="s">
        <v>229</v>
      </c>
      <c r="AH38" s="6" t="s">
        <v>229</v>
      </c>
      <c r="AI38" s="6" t="s">
        <v>31</v>
      </c>
      <c r="AJ38" s="6" t="s">
        <v>229</v>
      </c>
      <c r="AK38" s="6" t="s">
        <v>229</v>
      </c>
      <c r="AL38" s="4"/>
      <c r="AM38" s="7"/>
      <c r="AN38" s="7"/>
      <c r="AO38" s="4"/>
      <c r="AP38" s="7"/>
      <c r="AQ38" s="7"/>
      <c r="AR38" s="4"/>
      <c r="AS38" s="7"/>
      <c r="AT38" s="7"/>
      <c r="AU38" s="6">
        <v>1</v>
      </c>
      <c r="AV38" s="6" t="s">
        <v>230</v>
      </c>
      <c r="AW38" s="6">
        <v>16</v>
      </c>
      <c r="AX38" s="6" t="s">
        <v>231</v>
      </c>
      <c r="AY38" s="6">
        <v>4</v>
      </c>
      <c r="AZ38" s="6" t="s">
        <v>231</v>
      </c>
      <c r="BA38" s="23" t="str">
        <f>'Fertilizer &amp; Pesticide demand'!H38</f>
        <v>Yes</v>
      </c>
      <c r="BB38" s="23">
        <f>'Fertilizer &amp; Pesticide demand'!I38</f>
        <v>1</v>
      </c>
      <c r="BC38" s="23" t="str">
        <f>'Fertilizer &amp; Pesticide demand'!J38</f>
        <v>Packets</v>
      </c>
      <c r="BD38" s="10" t="e">
        <f>'Fertilizer &amp; Pesticide demand'!#REF!</f>
        <v>#REF!</v>
      </c>
      <c r="BE38" s="10" t="e">
        <f>'Fertilizer &amp; Pesticide demand'!#REF!</f>
        <v>#REF!</v>
      </c>
      <c r="BF38" s="10" t="e">
        <f>'Fertilizer &amp; Pesticide demand'!#REF!</f>
        <v>#REF!</v>
      </c>
      <c r="BG38" s="10" t="str">
        <f>'Fertilizer &amp; Pesticide demand'!K38</f>
        <v>No</v>
      </c>
      <c r="BH38" s="10">
        <f>'Fertilizer &amp; Pesticide demand'!L38</f>
        <v>0</v>
      </c>
      <c r="BI38" s="10">
        <f>'Fertilizer &amp; Pesticide demand'!M38</f>
        <v>0</v>
      </c>
      <c r="BJ38" s="10" t="str">
        <f>'Fertilizer &amp; Pesticide demand'!N38</f>
        <v>Yes</v>
      </c>
      <c r="BK38" s="10">
        <f>'Fertilizer &amp; Pesticide demand'!O38</f>
        <v>1</v>
      </c>
      <c r="BL38" s="10" t="str">
        <f>'Fertilizer &amp; Pesticide demand'!P38</f>
        <v>Packet</v>
      </c>
    </row>
    <row r="39" spans="1:64" ht="20.100000000000001" customHeight="1" x14ac:dyDescent="0.25">
      <c r="A39" s="6">
        <f t="shared" si="1"/>
        <v>37</v>
      </c>
      <c r="B39" s="12" t="s">
        <v>16</v>
      </c>
      <c r="C39" s="28" t="s">
        <v>70</v>
      </c>
      <c r="D39" s="4"/>
      <c r="E39" s="6" t="s">
        <v>31</v>
      </c>
      <c r="F39" s="6" t="s">
        <v>13</v>
      </c>
      <c r="G39" s="6" t="s">
        <v>238</v>
      </c>
      <c r="H39" s="6" t="s">
        <v>228</v>
      </c>
      <c r="I39" s="6" t="s">
        <v>29</v>
      </c>
      <c r="J39" s="10" t="s">
        <v>173</v>
      </c>
      <c r="K39" s="6">
        <v>200</v>
      </c>
      <c r="L39" s="6" t="s">
        <v>29</v>
      </c>
      <c r="M39" s="6" t="s">
        <v>180</v>
      </c>
      <c r="N39" s="6">
        <v>1</v>
      </c>
      <c r="O39" s="6" t="s">
        <v>191</v>
      </c>
      <c r="P39" s="6" t="s">
        <v>31</v>
      </c>
      <c r="Q39" s="6" t="s">
        <v>229</v>
      </c>
      <c r="R39" s="6" t="s">
        <v>229</v>
      </c>
      <c r="S39" s="6" t="s">
        <v>229</v>
      </c>
      <c r="T39" s="6" t="s">
        <v>31</v>
      </c>
      <c r="U39" s="6" t="s">
        <v>229</v>
      </c>
      <c r="V39" s="6" t="s">
        <v>229</v>
      </c>
      <c r="W39" s="6" t="s">
        <v>31</v>
      </c>
      <c r="X39" s="6" t="s">
        <v>229</v>
      </c>
      <c r="Y39" s="6" t="s">
        <v>229</v>
      </c>
      <c r="Z39" s="6" t="s">
        <v>31</v>
      </c>
      <c r="AA39" s="6" t="s">
        <v>229</v>
      </c>
      <c r="AB39" s="6" t="s">
        <v>229</v>
      </c>
      <c r="AC39" s="6" t="s">
        <v>31</v>
      </c>
      <c r="AD39" s="6" t="s">
        <v>229</v>
      </c>
      <c r="AE39" s="6" t="s">
        <v>229</v>
      </c>
      <c r="AF39" s="6" t="s">
        <v>31</v>
      </c>
      <c r="AG39" s="6" t="s">
        <v>229</v>
      </c>
      <c r="AH39" s="6" t="s">
        <v>229</v>
      </c>
      <c r="AI39" s="6" t="s">
        <v>31</v>
      </c>
      <c r="AJ39" s="6" t="s">
        <v>229</v>
      </c>
      <c r="AK39" s="6" t="s">
        <v>229</v>
      </c>
      <c r="AL39" s="4"/>
      <c r="AM39" s="7"/>
      <c r="AN39" s="7"/>
      <c r="AO39" s="4"/>
      <c r="AP39" s="7"/>
      <c r="AQ39" s="7"/>
      <c r="AR39" s="4"/>
      <c r="AS39" s="7"/>
      <c r="AT39" s="7"/>
      <c r="AU39" s="6">
        <v>1</v>
      </c>
      <c r="AV39" s="6" t="s">
        <v>230</v>
      </c>
      <c r="AW39" s="6">
        <v>16</v>
      </c>
      <c r="AX39" s="6" t="s">
        <v>231</v>
      </c>
      <c r="AY39" s="6">
        <v>4</v>
      </c>
      <c r="AZ39" s="6" t="s">
        <v>231</v>
      </c>
      <c r="BA39" s="23" t="str">
        <f>'Fertilizer &amp; Pesticide demand'!H39</f>
        <v>Yes</v>
      </c>
      <c r="BB39" s="23">
        <f>'Fertilizer &amp; Pesticide demand'!I39</f>
        <v>1</v>
      </c>
      <c r="BC39" s="23" t="str">
        <f>'Fertilizer &amp; Pesticide demand'!J39</f>
        <v>Packets</v>
      </c>
      <c r="BD39" s="10" t="e">
        <f>'Fertilizer &amp; Pesticide demand'!#REF!</f>
        <v>#REF!</v>
      </c>
      <c r="BE39" s="10" t="e">
        <f>'Fertilizer &amp; Pesticide demand'!#REF!</f>
        <v>#REF!</v>
      </c>
      <c r="BF39" s="10" t="e">
        <f>'Fertilizer &amp; Pesticide demand'!#REF!</f>
        <v>#REF!</v>
      </c>
      <c r="BG39" s="10" t="str">
        <f>'Fertilizer &amp; Pesticide demand'!K39</f>
        <v>No</v>
      </c>
      <c r="BH39" s="10">
        <f>'Fertilizer &amp; Pesticide demand'!L39</f>
        <v>0</v>
      </c>
      <c r="BI39" s="10">
        <f>'Fertilizer &amp; Pesticide demand'!M39</f>
        <v>0</v>
      </c>
      <c r="BJ39" s="10" t="str">
        <f>'Fertilizer &amp; Pesticide demand'!N39</f>
        <v>Yes</v>
      </c>
      <c r="BK39" s="10">
        <f>'Fertilizer &amp; Pesticide demand'!O39</f>
        <v>1</v>
      </c>
      <c r="BL39" s="10" t="str">
        <f>'Fertilizer &amp; Pesticide demand'!P39</f>
        <v>Packet</v>
      </c>
    </row>
    <row r="40" spans="1:64" ht="20.100000000000001" customHeight="1" x14ac:dyDescent="0.25">
      <c r="A40" s="6">
        <f t="shared" si="1"/>
        <v>38</v>
      </c>
      <c r="B40" s="12" t="s">
        <v>16</v>
      </c>
      <c r="C40" s="28" t="s">
        <v>75</v>
      </c>
      <c r="D40" s="4"/>
      <c r="E40" s="6" t="s">
        <v>31</v>
      </c>
      <c r="F40" s="6" t="s">
        <v>13</v>
      </c>
      <c r="G40" s="6" t="s">
        <v>238</v>
      </c>
      <c r="H40" s="6" t="s">
        <v>228</v>
      </c>
      <c r="I40" s="6" t="s">
        <v>29</v>
      </c>
      <c r="J40" s="10" t="s">
        <v>173</v>
      </c>
      <c r="K40" s="6">
        <v>200</v>
      </c>
      <c r="L40" s="6" t="s">
        <v>29</v>
      </c>
      <c r="M40" s="6" t="s">
        <v>180</v>
      </c>
      <c r="N40" s="6">
        <v>1</v>
      </c>
      <c r="O40" s="6" t="s">
        <v>191</v>
      </c>
      <c r="P40" s="6" t="s">
        <v>31</v>
      </c>
      <c r="Q40" s="6" t="s">
        <v>229</v>
      </c>
      <c r="R40" s="6" t="s">
        <v>229</v>
      </c>
      <c r="S40" s="6" t="s">
        <v>229</v>
      </c>
      <c r="T40" s="6" t="s">
        <v>31</v>
      </c>
      <c r="U40" s="6" t="s">
        <v>229</v>
      </c>
      <c r="V40" s="6" t="s">
        <v>229</v>
      </c>
      <c r="W40" s="6" t="s">
        <v>31</v>
      </c>
      <c r="X40" s="6" t="s">
        <v>229</v>
      </c>
      <c r="Y40" s="6" t="s">
        <v>229</v>
      </c>
      <c r="Z40" s="6" t="s">
        <v>31</v>
      </c>
      <c r="AA40" s="6" t="s">
        <v>229</v>
      </c>
      <c r="AB40" s="6" t="s">
        <v>229</v>
      </c>
      <c r="AC40" s="6" t="s">
        <v>31</v>
      </c>
      <c r="AD40" s="6" t="s">
        <v>229</v>
      </c>
      <c r="AE40" s="6" t="s">
        <v>229</v>
      </c>
      <c r="AF40" s="6" t="s">
        <v>31</v>
      </c>
      <c r="AG40" s="6" t="s">
        <v>229</v>
      </c>
      <c r="AH40" s="6" t="s">
        <v>229</v>
      </c>
      <c r="AI40" s="6" t="s">
        <v>31</v>
      </c>
      <c r="AJ40" s="6" t="s">
        <v>229</v>
      </c>
      <c r="AK40" s="6" t="s">
        <v>229</v>
      </c>
      <c r="AL40" s="4"/>
      <c r="AM40" s="7"/>
      <c r="AN40" s="7"/>
      <c r="AO40" s="4"/>
      <c r="AP40" s="7"/>
      <c r="AQ40" s="7"/>
      <c r="AR40" s="4"/>
      <c r="AS40" s="7"/>
      <c r="AT40" s="7"/>
      <c r="AU40" s="6">
        <v>1</v>
      </c>
      <c r="AV40" s="6" t="s">
        <v>230</v>
      </c>
      <c r="AW40" s="6">
        <v>16</v>
      </c>
      <c r="AX40" s="6" t="s">
        <v>231</v>
      </c>
      <c r="AY40" s="6">
        <v>4</v>
      </c>
      <c r="AZ40" s="6" t="s">
        <v>231</v>
      </c>
      <c r="BA40" s="23" t="str">
        <f>'Fertilizer &amp; Pesticide demand'!H40</f>
        <v>Yes</v>
      </c>
      <c r="BB40" s="23">
        <f>'Fertilizer &amp; Pesticide demand'!I40</f>
        <v>1</v>
      </c>
      <c r="BC40" s="23" t="str">
        <f>'Fertilizer &amp; Pesticide demand'!J40</f>
        <v>Packets</v>
      </c>
      <c r="BD40" s="10" t="e">
        <f>'Fertilizer &amp; Pesticide demand'!#REF!</f>
        <v>#REF!</v>
      </c>
      <c r="BE40" s="10" t="e">
        <f>'Fertilizer &amp; Pesticide demand'!#REF!</f>
        <v>#REF!</v>
      </c>
      <c r="BF40" s="10" t="e">
        <f>'Fertilizer &amp; Pesticide demand'!#REF!</f>
        <v>#REF!</v>
      </c>
      <c r="BG40" s="10" t="str">
        <f>'Fertilizer &amp; Pesticide demand'!K40</f>
        <v>No</v>
      </c>
      <c r="BH40" s="10">
        <f>'Fertilizer &amp; Pesticide demand'!L40</f>
        <v>0</v>
      </c>
      <c r="BI40" s="10">
        <f>'Fertilizer &amp; Pesticide demand'!M40</f>
        <v>0</v>
      </c>
      <c r="BJ40" s="10" t="str">
        <f>'Fertilizer &amp; Pesticide demand'!N40</f>
        <v>Yes</v>
      </c>
      <c r="BK40" s="10">
        <f>'Fertilizer &amp; Pesticide demand'!O40</f>
        <v>1</v>
      </c>
      <c r="BL40" s="10" t="str">
        <f>'Fertilizer &amp; Pesticide demand'!P40</f>
        <v>Packet</v>
      </c>
    </row>
    <row r="41" spans="1:64" ht="20.100000000000001" customHeight="1" x14ac:dyDescent="0.25">
      <c r="A41" s="6">
        <f t="shared" si="1"/>
        <v>39</v>
      </c>
      <c r="B41" s="12" t="s">
        <v>16</v>
      </c>
      <c r="C41" s="28" t="s">
        <v>82</v>
      </c>
      <c r="D41" s="4"/>
      <c r="E41" s="6" t="s">
        <v>31</v>
      </c>
      <c r="F41" s="6" t="s">
        <v>13</v>
      </c>
      <c r="G41" s="6" t="s">
        <v>238</v>
      </c>
      <c r="H41" s="6" t="s">
        <v>228</v>
      </c>
      <c r="I41" s="6" t="s">
        <v>29</v>
      </c>
      <c r="J41" s="10" t="s">
        <v>173</v>
      </c>
      <c r="K41" s="6">
        <v>200</v>
      </c>
      <c r="L41" s="6" t="s">
        <v>29</v>
      </c>
      <c r="M41" s="6" t="s">
        <v>180</v>
      </c>
      <c r="N41" s="6">
        <v>1</v>
      </c>
      <c r="O41" s="6" t="s">
        <v>191</v>
      </c>
      <c r="P41" s="6" t="s">
        <v>31</v>
      </c>
      <c r="Q41" s="6" t="s">
        <v>229</v>
      </c>
      <c r="R41" s="6" t="s">
        <v>229</v>
      </c>
      <c r="S41" s="6" t="s">
        <v>229</v>
      </c>
      <c r="T41" s="6" t="s">
        <v>31</v>
      </c>
      <c r="U41" s="6" t="s">
        <v>229</v>
      </c>
      <c r="V41" s="6" t="s">
        <v>229</v>
      </c>
      <c r="W41" s="6" t="s">
        <v>31</v>
      </c>
      <c r="X41" s="6" t="s">
        <v>229</v>
      </c>
      <c r="Y41" s="6" t="s">
        <v>229</v>
      </c>
      <c r="Z41" s="6" t="s">
        <v>31</v>
      </c>
      <c r="AA41" s="6" t="s">
        <v>229</v>
      </c>
      <c r="AB41" s="6" t="s">
        <v>229</v>
      </c>
      <c r="AC41" s="6" t="s">
        <v>31</v>
      </c>
      <c r="AD41" s="6" t="s">
        <v>229</v>
      </c>
      <c r="AE41" s="6" t="s">
        <v>229</v>
      </c>
      <c r="AF41" s="6" t="s">
        <v>31</v>
      </c>
      <c r="AG41" s="6" t="s">
        <v>229</v>
      </c>
      <c r="AH41" s="6" t="s">
        <v>229</v>
      </c>
      <c r="AI41" s="6" t="s">
        <v>31</v>
      </c>
      <c r="AJ41" s="6" t="s">
        <v>229</v>
      </c>
      <c r="AK41" s="6" t="s">
        <v>229</v>
      </c>
      <c r="AL41" s="4"/>
      <c r="AM41" s="7"/>
      <c r="AN41" s="7"/>
      <c r="AO41" s="4"/>
      <c r="AP41" s="7"/>
      <c r="AQ41" s="7"/>
      <c r="AR41" s="4"/>
      <c r="AS41" s="7"/>
      <c r="AT41" s="7"/>
      <c r="AU41" s="6">
        <v>1</v>
      </c>
      <c r="AV41" s="6" t="s">
        <v>230</v>
      </c>
      <c r="AW41" s="6">
        <v>16</v>
      </c>
      <c r="AX41" s="6" t="s">
        <v>231</v>
      </c>
      <c r="AY41" s="6">
        <v>4</v>
      </c>
      <c r="AZ41" s="6" t="s">
        <v>231</v>
      </c>
      <c r="BA41" s="23" t="str">
        <f>'Fertilizer &amp; Pesticide demand'!H41</f>
        <v>Yes</v>
      </c>
      <c r="BB41" s="23">
        <f>'Fertilizer &amp; Pesticide demand'!I41</f>
        <v>1</v>
      </c>
      <c r="BC41" s="23" t="str">
        <f>'Fertilizer &amp; Pesticide demand'!J41</f>
        <v>Packets</v>
      </c>
      <c r="BD41" s="10" t="e">
        <f>'Fertilizer &amp; Pesticide demand'!#REF!</f>
        <v>#REF!</v>
      </c>
      <c r="BE41" s="10" t="e">
        <f>'Fertilizer &amp; Pesticide demand'!#REF!</f>
        <v>#REF!</v>
      </c>
      <c r="BF41" s="10" t="e">
        <f>'Fertilizer &amp; Pesticide demand'!#REF!</f>
        <v>#REF!</v>
      </c>
      <c r="BG41" s="10" t="str">
        <f>'Fertilizer &amp; Pesticide demand'!K41</f>
        <v>No</v>
      </c>
      <c r="BH41" s="10">
        <f>'Fertilizer &amp; Pesticide demand'!L41</f>
        <v>0</v>
      </c>
      <c r="BI41" s="10">
        <f>'Fertilizer &amp; Pesticide demand'!M41</f>
        <v>0</v>
      </c>
      <c r="BJ41" s="10" t="str">
        <f>'Fertilizer &amp; Pesticide demand'!N41</f>
        <v>Yes</v>
      </c>
      <c r="BK41" s="10">
        <f>'Fertilizer &amp; Pesticide demand'!O41</f>
        <v>1</v>
      </c>
      <c r="BL41" s="10" t="str">
        <f>'Fertilizer &amp; Pesticide demand'!P41</f>
        <v>Packet</v>
      </c>
    </row>
    <row r="42" spans="1:64" ht="20.100000000000001" customHeight="1" x14ac:dyDescent="0.25">
      <c r="A42" s="6">
        <f t="shared" si="1"/>
        <v>40</v>
      </c>
      <c r="B42" s="12" t="s">
        <v>16</v>
      </c>
      <c r="C42" s="28" t="s">
        <v>83</v>
      </c>
      <c r="D42" s="4"/>
      <c r="E42" s="6" t="s">
        <v>31</v>
      </c>
      <c r="F42" s="6" t="s">
        <v>13</v>
      </c>
      <c r="G42" s="6" t="s">
        <v>238</v>
      </c>
      <c r="H42" s="6" t="s">
        <v>228</v>
      </c>
      <c r="I42" s="6" t="s">
        <v>29</v>
      </c>
      <c r="J42" s="10" t="s">
        <v>173</v>
      </c>
      <c r="K42" s="6">
        <v>200</v>
      </c>
      <c r="L42" s="6" t="s">
        <v>29</v>
      </c>
      <c r="M42" s="6" t="s">
        <v>180</v>
      </c>
      <c r="N42" s="6">
        <v>1</v>
      </c>
      <c r="O42" s="6" t="s">
        <v>191</v>
      </c>
      <c r="P42" s="6" t="s">
        <v>31</v>
      </c>
      <c r="Q42" s="6" t="s">
        <v>229</v>
      </c>
      <c r="R42" s="6" t="s">
        <v>229</v>
      </c>
      <c r="S42" s="6" t="s">
        <v>229</v>
      </c>
      <c r="T42" s="6" t="s">
        <v>31</v>
      </c>
      <c r="U42" s="6" t="s">
        <v>229</v>
      </c>
      <c r="V42" s="6" t="s">
        <v>229</v>
      </c>
      <c r="W42" s="6" t="s">
        <v>31</v>
      </c>
      <c r="X42" s="6" t="s">
        <v>229</v>
      </c>
      <c r="Y42" s="6" t="s">
        <v>229</v>
      </c>
      <c r="Z42" s="6" t="s">
        <v>31</v>
      </c>
      <c r="AA42" s="6" t="s">
        <v>229</v>
      </c>
      <c r="AB42" s="6" t="s">
        <v>229</v>
      </c>
      <c r="AC42" s="6" t="s">
        <v>31</v>
      </c>
      <c r="AD42" s="6" t="s">
        <v>229</v>
      </c>
      <c r="AE42" s="6" t="s">
        <v>229</v>
      </c>
      <c r="AF42" s="6" t="s">
        <v>31</v>
      </c>
      <c r="AG42" s="6" t="s">
        <v>229</v>
      </c>
      <c r="AH42" s="6" t="s">
        <v>229</v>
      </c>
      <c r="AI42" s="6" t="s">
        <v>31</v>
      </c>
      <c r="AJ42" s="6" t="s">
        <v>229</v>
      </c>
      <c r="AK42" s="6" t="s">
        <v>229</v>
      </c>
      <c r="AL42" s="4"/>
      <c r="AM42" s="7"/>
      <c r="AN42" s="7"/>
      <c r="AO42" s="4"/>
      <c r="AP42" s="7"/>
      <c r="AQ42" s="7"/>
      <c r="AR42" s="4"/>
      <c r="AS42" s="7"/>
      <c r="AT42" s="7"/>
      <c r="AU42" s="6">
        <v>1</v>
      </c>
      <c r="AV42" s="6" t="s">
        <v>230</v>
      </c>
      <c r="AW42" s="6">
        <v>16</v>
      </c>
      <c r="AX42" s="6" t="s">
        <v>231</v>
      </c>
      <c r="AY42" s="6">
        <v>4</v>
      </c>
      <c r="AZ42" s="6" t="s">
        <v>231</v>
      </c>
      <c r="BA42" s="23" t="str">
        <f>'Fertilizer &amp; Pesticide demand'!H42</f>
        <v>Yes</v>
      </c>
      <c r="BB42" s="23">
        <f>'Fertilizer &amp; Pesticide demand'!I42</f>
        <v>1</v>
      </c>
      <c r="BC42" s="23" t="str">
        <f>'Fertilizer &amp; Pesticide demand'!J42</f>
        <v>Packets</v>
      </c>
      <c r="BD42" s="10" t="e">
        <f>'Fertilizer &amp; Pesticide demand'!#REF!</f>
        <v>#REF!</v>
      </c>
      <c r="BE42" s="10" t="e">
        <f>'Fertilizer &amp; Pesticide demand'!#REF!</f>
        <v>#REF!</v>
      </c>
      <c r="BF42" s="10" t="e">
        <f>'Fertilizer &amp; Pesticide demand'!#REF!</f>
        <v>#REF!</v>
      </c>
      <c r="BG42" s="10" t="str">
        <f>'Fertilizer &amp; Pesticide demand'!K42</f>
        <v>No</v>
      </c>
      <c r="BH42" s="10">
        <f>'Fertilizer &amp; Pesticide demand'!L42</f>
        <v>0</v>
      </c>
      <c r="BI42" s="10">
        <f>'Fertilizer &amp; Pesticide demand'!M42</f>
        <v>0</v>
      </c>
      <c r="BJ42" s="10" t="str">
        <f>'Fertilizer &amp; Pesticide demand'!N42</f>
        <v>Yes</v>
      </c>
      <c r="BK42" s="10">
        <f>'Fertilizer &amp; Pesticide demand'!O42</f>
        <v>1</v>
      </c>
      <c r="BL42" s="10" t="str">
        <f>'Fertilizer &amp; Pesticide demand'!P42</f>
        <v>Packet</v>
      </c>
    </row>
    <row r="43" spans="1:64" ht="20.100000000000001" customHeight="1" x14ac:dyDescent="0.25">
      <c r="A43" s="6">
        <f t="shared" si="1"/>
        <v>41</v>
      </c>
      <c r="B43" s="12" t="s">
        <v>16</v>
      </c>
      <c r="C43" s="28" t="s">
        <v>110</v>
      </c>
      <c r="D43" s="4"/>
      <c r="E43" s="6" t="s">
        <v>31</v>
      </c>
      <c r="F43" s="6" t="s">
        <v>13</v>
      </c>
      <c r="G43" s="6" t="s">
        <v>238</v>
      </c>
      <c r="H43" s="6" t="s">
        <v>228</v>
      </c>
      <c r="I43" s="6" t="s">
        <v>29</v>
      </c>
      <c r="J43" s="10" t="s">
        <v>173</v>
      </c>
      <c r="K43" s="6">
        <v>200</v>
      </c>
      <c r="L43" s="6" t="s">
        <v>29</v>
      </c>
      <c r="M43" s="6" t="s">
        <v>180</v>
      </c>
      <c r="N43" s="6">
        <v>1</v>
      </c>
      <c r="O43" s="6" t="s">
        <v>191</v>
      </c>
      <c r="P43" s="6" t="s">
        <v>31</v>
      </c>
      <c r="Q43" s="6" t="s">
        <v>229</v>
      </c>
      <c r="R43" s="6" t="s">
        <v>229</v>
      </c>
      <c r="S43" s="6" t="s">
        <v>229</v>
      </c>
      <c r="T43" s="6" t="s">
        <v>31</v>
      </c>
      <c r="U43" s="6" t="s">
        <v>229</v>
      </c>
      <c r="V43" s="6" t="s">
        <v>229</v>
      </c>
      <c r="W43" s="6" t="s">
        <v>31</v>
      </c>
      <c r="X43" s="6" t="s">
        <v>229</v>
      </c>
      <c r="Y43" s="6" t="s">
        <v>229</v>
      </c>
      <c r="Z43" s="6" t="s">
        <v>31</v>
      </c>
      <c r="AA43" s="6" t="s">
        <v>229</v>
      </c>
      <c r="AB43" s="6" t="s">
        <v>229</v>
      </c>
      <c r="AC43" s="6" t="s">
        <v>31</v>
      </c>
      <c r="AD43" s="6" t="s">
        <v>229</v>
      </c>
      <c r="AE43" s="6" t="s">
        <v>229</v>
      </c>
      <c r="AF43" s="6" t="s">
        <v>31</v>
      </c>
      <c r="AG43" s="6" t="s">
        <v>229</v>
      </c>
      <c r="AH43" s="6" t="s">
        <v>229</v>
      </c>
      <c r="AI43" s="6" t="s">
        <v>31</v>
      </c>
      <c r="AJ43" s="6" t="s">
        <v>229</v>
      </c>
      <c r="AK43" s="6" t="s">
        <v>229</v>
      </c>
      <c r="AL43" s="4"/>
      <c r="AM43" s="7"/>
      <c r="AN43" s="7"/>
      <c r="AO43" s="4"/>
      <c r="AP43" s="7"/>
      <c r="AQ43" s="7"/>
      <c r="AR43" s="4"/>
      <c r="AS43" s="7"/>
      <c r="AT43" s="7"/>
      <c r="AU43" s="6">
        <v>1</v>
      </c>
      <c r="AV43" s="6" t="s">
        <v>230</v>
      </c>
      <c r="AW43" s="6">
        <v>16</v>
      </c>
      <c r="AX43" s="6" t="s">
        <v>231</v>
      </c>
      <c r="AY43" s="6">
        <v>4</v>
      </c>
      <c r="AZ43" s="6" t="s">
        <v>231</v>
      </c>
      <c r="BA43" s="23" t="str">
        <f>'Fertilizer &amp; Pesticide demand'!H43</f>
        <v>Yes</v>
      </c>
      <c r="BB43" s="23">
        <f>'Fertilizer &amp; Pesticide demand'!I43</f>
        <v>1</v>
      </c>
      <c r="BC43" s="23" t="str">
        <f>'Fertilizer &amp; Pesticide demand'!J43</f>
        <v>Packets</v>
      </c>
      <c r="BD43" s="10" t="e">
        <f>'Fertilizer &amp; Pesticide demand'!#REF!</f>
        <v>#REF!</v>
      </c>
      <c r="BE43" s="10" t="e">
        <f>'Fertilizer &amp; Pesticide demand'!#REF!</f>
        <v>#REF!</v>
      </c>
      <c r="BF43" s="10" t="e">
        <f>'Fertilizer &amp; Pesticide demand'!#REF!</f>
        <v>#REF!</v>
      </c>
      <c r="BG43" s="10" t="str">
        <f>'Fertilizer &amp; Pesticide demand'!K43</f>
        <v>No</v>
      </c>
      <c r="BH43" s="10">
        <f>'Fertilizer &amp; Pesticide demand'!L43</f>
        <v>0</v>
      </c>
      <c r="BI43" s="10">
        <f>'Fertilizer &amp; Pesticide demand'!M43</f>
        <v>0</v>
      </c>
      <c r="BJ43" s="10" t="str">
        <f>'Fertilizer &amp; Pesticide demand'!N43</f>
        <v>Yes</v>
      </c>
      <c r="BK43" s="10">
        <f>'Fertilizer &amp; Pesticide demand'!O43</f>
        <v>1</v>
      </c>
      <c r="BL43" s="10" t="str">
        <f>'Fertilizer &amp; Pesticide demand'!P43</f>
        <v>Packet</v>
      </c>
    </row>
    <row r="44" spans="1:64" ht="20.100000000000001" customHeight="1" x14ac:dyDescent="0.25">
      <c r="A44" s="6">
        <f t="shared" si="1"/>
        <v>42</v>
      </c>
      <c r="B44" s="12" t="s">
        <v>16</v>
      </c>
      <c r="C44" s="28" t="s">
        <v>119</v>
      </c>
      <c r="D44" s="4"/>
      <c r="E44" s="6" t="s">
        <v>29</v>
      </c>
      <c r="F44" s="6" t="s">
        <v>13</v>
      </c>
      <c r="G44" s="6" t="s">
        <v>238</v>
      </c>
      <c r="H44" s="6" t="s">
        <v>228</v>
      </c>
      <c r="I44" s="6" t="s">
        <v>29</v>
      </c>
      <c r="J44" s="10" t="s">
        <v>173</v>
      </c>
      <c r="K44" s="6">
        <v>200</v>
      </c>
      <c r="L44" s="6" t="s">
        <v>29</v>
      </c>
      <c r="M44" s="6" t="s">
        <v>180</v>
      </c>
      <c r="N44" s="6">
        <v>1</v>
      </c>
      <c r="O44" s="6" t="s">
        <v>191</v>
      </c>
      <c r="P44" s="6" t="s">
        <v>31</v>
      </c>
      <c r="Q44" s="6" t="s">
        <v>229</v>
      </c>
      <c r="R44" s="6" t="s">
        <v>229</v>
      </c>
      <c r="S44" s="6" t="s">
        <v>229</v>
      </c>
      <c r="T44" s="6" t="s">
        <v>31</v>
      </c>
      <c r="U44" s="6" t="s">
        <v>229</v>
      </c>
      <c r="V44" s="6" t="s">
        <v>229</v>
      </c>
      <c r="W44" s="6" t="s">
        <v>31</v>
      </c>
      <c r="X44" s="6" t="s">
        <v>229</v>
      </c>
      <c r="Y44" s="6" t="s">
        <v>229</v>
      </c>
      <c r="Z44" s="6" t="s">
        <v>31</v>
      </c>
      <c r="AA44" s="6" t="s">
        <v>229</v>
      </c>
      <c r="AB44" s="6" t="s">
        <v>229</v>
      </c>
      <c r="AC44" s="6" t="s">
        <v>31</v>
      </c>
      <c r="AD44" s="6" t="s">
        <v>229</v>
      </c>
      <c r="AE44" s="6" t="s">
        <v>229</v>
      </c>
      <c r="AF44" s="6" t="s">
        <v>31</v>
      </c>
      <c r="AG44" s="6" t="s">
        <v>229</v>
      </c>
      <c r="AH44" s="6" t="s">
        <v>229</v>
      </c>
      <c r="AI44" s="6" t="s">
        <v>31</v>
      </c>
      <c r="AJ44" s="6" t="s">
        <v>229</v>
      </c>
      <c r="AK44" s="6" t="s">
        <v>229</v>
      </c>
      <c r="AL44" s="4"/>
      <c r="AM44" s="7"/>
      <c r="AN44" s="7"/>
      <c r="AO44" s="4"/>
      <c r="AP44" s="7"/>
      <c r="AQ44" s="7"/>
      <c r="AR44" s="4"/>
      <c r="AS44" s="7"/>
      <c r="AT44" s="7"/>
      <c r="AU44" s="6">
        <v>1</v>
      </c>
      <c r="AV44" s="6" t="s">
        <v>230</v>
      </c>
      <c r="AW44" s="6">
        <v>16</v>
      </c>
      <c r="AX44" s="6" t="s">
        <v>231</v>
      </c>
      <c r="AY44" s="6">
        <v>4</v>
      </c>
      <c r="AZ44" s="6" t="s">
        <v>231</v>
      </c>
      <c r="BA44" s="23" t="str">
        <f>'Fertilizer &amp; Pesticide demand'!H44</f>
        <v>Yes</v>
      </c>
      <c r="BB44" s="23">
        <f>'Fertilizer &amp; Pesticide demand'!I44</f>
        <v>1</v>
      </c>
      <c r="BC44" s="23" t="str">
        <f>'Fertilizer &amp; Pesticide demand'!J44</f>
        <v>Packets</v>
      </c>
      <c r="BD44" s="10" t="e">
        <f>'Fertilizer &amp; Pesticide demand'!#REF!</f>
        <v>#REF!</v>
      </c>
      <c r="BE44" s="10" t="e">
        <f>'Fertilizer &amp; Pesticide demand'!#REF!</f>
        <v>#REF!</v>
      </c>
      <c r="BF44" s="10" t="e">
        <f>'Fertilizer &amp; Pesticide demand'!#REF!</f>
        <v>#REF!</v>
      </c>
      <c r="BG44" s="10" t="str">
        <f>'Fertilizer &amp; Pesticide demand'!K44</f>
        <v>No</v>
      </c>
      <c r="BH44" s="10">
        <f>'Fertilizer &amp; Pesticide demand'!L44</f>
        <v>0</v>
      </c>
      <c r="BI44" s="10">
        <f>'Fertilizer &amp; Pesticide demand'!M44</f>
        <v>0</v>
      </c>
      <c r="BJ44" s="10" t="str">
        <f>'Fertilizer &amp; Pesticide demand'!N44</f>
        <v>Yes</v>
      </c>
      <c r="BK44" s="10">
        <f>'Fertilizer &amp; Pesticide demand'!O44</f>
        <v>1</v>
      </c>
      <c r="BL44" s="10" t="str">
        <f>'Fertilizer &amp; Pesticide demand'!P44</f>
        <v>Packet</v>
      </c>
    </row>
    <row r="45" spans="1:64" ht="20.100000000000001" customHeight="1" x14ac:dyDescent="0.25">
      <c r="A45" s="6">
        <f t="shared" si="1"/>
        <v>43</v>
      </c>
      <c r="B45" s="12" t="s">
        <v>16</v>
      </c>
      <c r="C45" s="28" t="s">
        <v>122</v>
      </c>
      <c r="D45" s="4"/>
      <c r="E45" s="6" t="s">
        <v>31</v>
      </c>
      <c r="F45" s="6" t="s">
        <v>13</v>
      </c>
      <c r="G45" s="6" t="s">
        <v>238</v>
      </c>
      <c r="H45" s="6" t="s">
        <v>228</v>
      </c>
      <c r="I45" s="6" t="s">
        <v>29</v>
      </c>
      <c r="J45" s="10" t="s">
        <v>173</v>
      </c>
      <c r="K45" s="6">
        <v>200</v>
      </c>
      <c r="L45" s="6" t="s">
        <v>29</v>
      </c>
      <c r="M45" s="6" t="s">
        <v>180</v>
      </c>
      <c r="N45" s="6">
        <v>1</v>
      </c>
      <c r="O45" s="6" t="s">
        <v>191</v>
      </c>
      <c r="P45" s="6" t="s">
        <v>31</v>
      </c>
      <c r="Q45" s="6" t="s">
        <v>229</v>
      </c>
      <c r="R45" s="6" t="s">
        <v>229</v>
      </c>
      <c r="S45" s="6" t="s">
        <v>229</v>
      </c>
      <c r="T45" s="6" t="s">
        <v>31</v>
      </c>
      <c r="U45" s="6" t="s">
        <v>229</v>
      </c>
      <c r="V45" s="6" t="s">
        <v>229</v>
      </c>
      <c r="W45" s="6" t="s">
        <v>31</v>
      </c>
      <c r="X45" s="6" t="s">
        <v>229</v>
      </c>
      <c r="Y45" s="6" t="s">
        <v>229</v>
      </c>
      <c r="Z45" s="6" t="s">
        <v>31</v>
      </c>
      <c r="AA45" s="6" t="s">
        <v>229</v>
      </c>
      <c r="AB45" s="6" t="s">
        <v>229</v>
      </c>
      <c r="AC45" s="6" t="s">
        <v>31</v>
      </c>
      <c r="AD45" s="6" t="s">
        <v>229</v>
      </c>
      <c r="AE45" s="6" t="s">
        <v>229</v>
      </c>
      <c r="AF45" s="6" t="s">
        <v>31</v>
      </c>
      <c r="AG45" s="6" t="s">
        <v>229</v>
      </c>
      <c r="AH45" s="6" t="s">
        <v>229</v>
      </c>
      <c r="AI45" s="6" t="s">
        <v>31</v>
      </c>
      <c r="AJ45" s="6" t="s">
        <v>229</v>
      </c>
      <c r="AK45" s="6" t="s">
        <v>229</v>
      </c>
      <c r="AL45" s="4"/>
      <c r="AM45" s="7"/>
      <c r="AN45" s="7"/>
      <c r="AO45" s="4"/>
      <c r="AP45" s="7"/>
      <c r="AQ45" s="7"/>
      <c r="AR45" s="4"/>
      <c r="AS45" s="7"/>
      <c r="AT45" s="7"/>
      <c r="AU45" s="6">
        <v>1</v>
      </c>
      <c r="AV45" s="6" t="s">
        <v>230</v>
      </c>
      <c r="AW45" s="6">
        <v>16</v>
      </c>
      <c r="AX45" s="6" t="s">
        <v>231</v>
      </c>
      <c r="AY45" s="6">
        <v>4</v>
      </c>
      <c r="AZ45" s="6" t="s">
        <v>231</v>
      </c>
      <c r="BA45" s="23" t="str">
        <f>'Fertilizer &amp; Pesticide demand'!H45</f>
        <v>Yes</v>
      </c>
      <c r="BB45" s="23">
        <f>'Fertilizer &amp; Pesticide demand'!I45</f>
        <v>1</v>
      </c>
      <c r="BC45" s="23" t="str">
        <f>'Fertilizer &amp; Pesticide demand'!J45</f>
        <v>Packets</v>
      </c>
      <c r="BD45" s="10" t="e">
        <f>'Fertilizer &amp; Pesticide demand'!#REF!</f>
        <v>#REF!</v>
      </c>
      <c r="BE45" s="10" t="e">
        <f>'Fertilizer &amp; Pesticide demand'!#REF!</f>
        <v>#REF!</v>
      </c>
      <c r="BF45" s="10" t="e">
        <f>'Fertilizer &amp; Pesticide demand'!#REF!</f>
        <v>#REF!</v>
      </c>
      <c r="BG45" s="10" t="str">
        <f>'Fertilizer &amp; Pesticide demand'!K45</f>
        <v>No</v>
      </c>
      <c r="BH45" s="10">
        <f>'Fertilizer &amp; Pesticide demand'!L45</f>
        <v>0</v>
      </c>
      <c r="BI45" s="10">
        <f>'Fertilizer &amp; Pesticide demand'!M45</f>
        <v>0</v>
      </c>
      <c r="BJ45" s="10" t="str">
        <f>'Fertilizer &amp; Pesticide demand'!N45</f>
        <v>Yes</v>
      </c>
      <c r="BK45" s="10">
        <f>'Fertilizer &amp; Pesticide demand'!O45</f>
        <v>1</v>
      </c>
      <c r="BL45" s="10" t="str">
        <f>'Fertilizer &amp; Pesticide demand'!P45</f>
        <v>Packet</v>
      </c>
    </row>
    <row r="46" spans="1:64" ht="20.100000000000001" customHeight="1" x14ac:dyDescent="0.25">
      <c r="A46" s="6">
        <f t="shared" si="1"/>
        <v>44</v>
      </c>
      <c r="B46" s="12" t="s">
        <v>16</v>
      </c>
      <c r="C46" s="28" t="s">
        <v>95</v>
      </c>
      <c r="D46" s="4"/>
      <c r="E46" s="6" t="s">
        <v>29</v>
      </c>
      <c r="F46" s="6" t="s">
        <v>13</v>
      </c>
      <c r="G46" s="6" t="s">
        <v>239</v>
      </c>
      <c r="H46" s="6" t="s">
        <v>228</v>
      </c>
      <c r="I46" s="6" t="s">
        <v>29</v>
      </c>
      <c r="J46" s="10" t="s">
        <v>173</v>
      </c>
      <c r="K46" s="6">
        <v>200</v>
      </c>
      <c r="L46" s="6" t="s">
        <v>29</v>
      </c>
      <c r="M46" s="6" t="s">
        <v>180</v>
      </c>
      <c r="N46" s="6">
        <v>1</v>
      </c>
      <c r="O46" s="6" t="s">
        <v>191</v>
      </c>
      <c r="P46" s="6" t="s">
        <v>31</v>
      </c>
      <c r="Q46" s="6" t="s">
        <v>229</v>
      </c>
      <c r="R46" s="6" t="s">
        <v>229</v>
      </c>
      <c r="S46" s="6" t="s">
        <v>229</v>
      </c>
      <c r="T46" s="6" t="s">
        <v>31</v>
      </c>
      <c r="U46" s="6" t="s">
        <v>229</v>
      </c>
      <c r="V46" s="6" t="s">
        <v>229</v>
      </c>
      <c r="W46" s="6" t="s">
        <v>31</v>
      </c>
      <c r="X46" s="6" t="s">
        <v>229</v>
      </c>
      <c r="Y46" s="6" t="s">
        <v>229</v>
      </c>
      <c r="Z46" s="6" t="s">
        <v>31</v>
      </c>
      <c r="AA46" s="6" t="s">
        <v>229</v>
      </c>
      <c r="AB46" s="6" t="s">
        <v>229</v>
      </c>
      <c r="AC46" s="6" t="s">
        <v>31</v>
      </c>
      <c r="AD46" s="6" t="s">
        <v>229</v>
      </c>
      <c r="AE46" s="6" t="s">
        <v>229</v>
      </c>
      <c r="AF46" s="6" t="s">
        <v>31</v>
      </c>
      <c r="AG46" s="6" t="s">
        <v>229</v>
      </c>
      <c r="AH46" s="6" t="s">
        <v>229</v>
      </c>
      <c r="AI46" s="6" t="s">
        <v>31</v>
      </c>
      <c r="AJ46" s="6" t="s">
        <v>229</v>
      </c>
      <c r="AK46" s="6" t="s">
        <v>229</v>
      </c>
      <c r="AL46" s="4"/>
      <c r="AM46" s="7"/>
      <c r="AN46" s="7"/>
      <c r="AO46" s="4"/>
      <c r="AP46" s="7"/>
      <c r="AQ46" s="7"/>
      <c r="AR46" s="4"/>
      <c r="AS46" s="7"/>
      <c r="AT46" s="7"/>
      <c r="AU46" s="6">
        <v>1</v>
      </c>
      <c r="AV46" s="6" t="s">
        <v>230</v>
      </c>
      <c r="AW46" s="6">
        <v>16</v>
      </c>
      <c r="AX46" s="6" t="s">
        <v>231</v>
      </c>
      <c r="AY46" s="6">
        <v>4</v>
      </c>
      <c r="AZ46" s="6" t="s">
        <v>231</v>
      </c>
      <c r="BA46" s="23" t="str">
        <f>'Fertilizer &amp; Pesticide demand'!H46</f>
        <v>Yes</v>
      </c>
      <c r="BB46" s="23">
        <f>'Fertilizer &amp; Pesticide demand'!I46</f>
        <v>1</v>
      </c>
      <c r="BC46" s="23" t="str">
        <f>'Fertilizer &amp; Pesticide demand'!J46</f>
        <v>Packets</v>
      </c>
      <c r="BD46" s="10" t="e">
        <f>'Fertilizer &amp; Pesticide demand'!#REF!</f>
        <v>#REF!</v>
      </c>
      <c r="BE46" s="10" t="e">
        <f>'Fertilizer &amp; Pesticide demand'!#REF!</f>
        <v>#REF!</v>
      </c>
      <c r="BF46" s="10" t="e">
        <f>'Fertilizer &amp; Pesticide demand'!#REF!</f>
        <v>#REF!</v>
      </c>
      <c r="BG46" s="10" t="str">
        <f>'Fertilizer &amp; Pesticide demand'!K46</f>
        <v>No</v>
      </c>
      <c r="BH46" s="10">
        <f>'Fertilizer &amp; Pesticide demand'!L46</f>
        <v>0</v>
      </c>
      <c r="BI46" s="10">
        <f>'Fertilizer &amp; Pesticide demand'!M46</f>
        <v>0</v>
      </c>
      <c r="BJ46" s="10" t="str">
        <f>'Fertilizer &amp; Pesticide demand'!N46</f>
        <v>Yes</v>
      </c>
      <c r="BK46" s="10">
        <f>'Fertilizer &amp; Pesticide demand'!O46</f>
        <v>1</v>
      </c>
      <c r="BL46" s="10" t="str">
        <f>'Fertilizer &amp; Pesticide demand'!P46</f>
        <v>Packet</v>
      </c>
    </row>
    <row r="47" spans="1:64" ht="20.100000000000001" customHeight="1" x14ac:dyDescent="0.25">
      <c r="A47" s="6">
        <f t="shared" si="1"/>
        <v>45</v>
      </c>
      <c r="B47" s="12" t="s">
        <v>16</v>
      </c>
      <c r="C47" s="28" t="s">
        <v>103</v>
      </c>
      <c r="D47" s="4"/>
      <c r="E47" s="6" t="s">
        <v>29</v>
      </c>
      <c r="F47" s="6" t="s">
        <v>13</v>
      </c>
      <c r="G47" s="6" t="s">
        <v>239</v>
      </c>
      <c r="H47" s="6" t="s">
        <v>228</v>
      </c>
      <c r="I47" s="6" t="s">
        <v>29</v>
      </c>
      <c r="J47" s="10" t="s">
        <v>173</v>
      </c>
      <c r="K47" s="6">
        <v>200</v>
      </c>
      <c r="L47" s="6" t="s">
        <v>29</v>
      </c>
      <c r="M47" s="6" t="s">
        <v>180</v>
      </c>
      <c r="N47" s="6">
        <v>1</v>
      </c>
      <c r="O47" s="6" t="s">
        <v>191</v>
      </c>
      <c r="P47" s="6" t="s">
        <v>31</v>
      </c>
      <c r="Q47" s="6" t="s">
        <v>229</v>
      </c>
      <c r="R47" s="6" t="s">
        <v>229</v>
      </c>
      <c r="S47" s="6" t="s">
        <v>229</v>
      </c>
      <c r="T47" s="6" t="s">
        <v>31</v>
      </c>
      <c r="U47" s="6" t="s">
        <v>229</v>
      </c>
      <c r="V47" s="6" t="s">
        <v>229</v>
      </c>
      <c r="W47" s="6" t="s">
        <v>31</v>
      </c>
      <c r="X47" s="6" t="s">
        <v>229</v>
      </c>
      <c r="Y47" s="6" t="s">
        <v>229</v>
      </c>
      <c r="Z47" s="6" t="s">
        <v>31</v>
      </c>
      <c r="AA47" s="6" t="s">
        <v>229</v>
      </c>
      <c r="AB47" s="6" t="s">
        <v>229</v>
      </c>
      <c r="AC47" s="6" t="s">
        <v>31</v>
      </c>
      <c r="AD47" s="6" t="s">
        <v>229</v>
      </c>
      <c r="AE47" s="6" t="s">
        <v>229</v>
      </c>
      <c r="AF47" s="6" t="s">
        <v>31</v>
      </c>
      <c r="AG47" s="6" t="s">
        <v>229</v>
      </c>
      <c r="AH47" s="6" t="s">
        <v>229</v>
      </c>
      <c r="AI47" s="6" t="s">
        <v>31</v>
      </c>
      <c r="AJ47" s="6" t="s">
        <v>229</v>
      </c>
      <c r="AK47" s="6" t="s">
        <v>229</v>
      </c>
      <c r="AL47" s="4"/>
      <c r="AM47" s="7"/>
      <c r="AN47" s="7"/>
      <c r="AO47" s="4"/>
      <c r="AP47" s="7"/>
      <c r="AQ47" s="7"/>
      <c r="AR47" s="4"/>
      <c r="AS47" s="7"/>
      <c r="AT47" s="7"/>
      <c r="AU47" s="6">
        <v>1</v>
      </c>
      <c r="AV47" s="6" t="s">
        <v>230</v>
      </c>
      <c r="AW47" s="6">
        <v>16</v>
      </c>
      <c r="AX47" s="6" t="s">
        <v>231</v>
      </c>
      <c r="AY47" s="6">
        <v>4</v>
      </c>
      <c r="AZ47" s="6" t="s">
        <v>231</v>
      </c>
      <c r="BA47" s="23" t="str">
        <f>'Fertilizer &amp; Pesticide demand'!H47</f>
        <v>Yes</v>
      </c>
      <c r="BB47" s="23">
        <f>'Fertilizer &amp; Pesticide demand'!I47</f>
        <v>1</v>
      </c>
      <c r="BC47" s="23" t="str">
        <f>'Fertilizer &amp; Pesticide demand'!J47</f>
        <v>Packets</v>
      </c>
      <c r="BD47" s="10" t="e">
        <f>'Fertilizer &amp; Pesticide demand'!#REF!</f>
        <v>#REF!</v>
      </c>
      <c r="BE47" s="10" t="e">
        <f>'Fertilizer &amp; Pesticide demand'!#REF!</f>
        <v>#REF!</v>
      </c>
      <c r="BF47" s="10" t="e">
        <f>'Fertilizer &amp; Pesticide demand'!#REF!</f>
        <v>#REF!</v>
      </c>
      <c r="BG47" s="10" t="str">
        <f>'Fertilizer &amp; Pesticide demand'!K47</f>
        <v>No</v>
      </c>
      <c r="BH47" s="10">
        <f>'Fertilizer &amp; Pesticide demand'!L47</f>
        <v>0</v>
      </c>
      <c r="BI47" s="10">
        <f>'Fertilizer &amp; Pesticide demand'!M47</f>
        <v>0</v>
      </c>
      <c r="BJ47" s="10" t="str">
        <f>'Fertilizer &amp; Pesticide demand'!N47</f>
        <v>Yes</v>
      </c>
      <c r="BK47" s="10">
        <f>'Fertilizer &amp; Pesticide demand'!O47</f>
        <v>1</v>
      </c>
      <c r="BL47" s="10" t="str">
        <f>'Fertilizer &amp; Pesticide demand'!P47</f>
        <v>Packet</v>
      </c>
    </row>
    <row r="48" spans="1:64" ht="20.100000000000001" customHeight="1" x14ac:dyDescent="0.25">
      <c r="A48" s="6">
        <f t="shared" si="1"/>
        <v>46</v>
      </c>
      <c r="B48" s="6" t="s">
        <v>10</v>
      </c>
      <c r="C48" s="28" t="s">
        <v>34</v>
      </c>
      <c r="D48" s="4"/>
      <c r="E48" s="6" t="s">
        <v>31</v>
      </c>
      <c r="F48" s="6" t="s">
        <v>11</v>
      </c>
      <c r="G48" s="6" t="s">
        <v>240</v>
      </c>
      <c r="H48" s="6" t="s">
        <v>228</v>
      </c>
      <c r="I48" s="6" t="s">
        <v>29</v>
      </c>
      <c r="J48" s="10" t="s">
        <v>173</v>
      </c>
      <c r="K48" s="6">
        <v>200</v>
      </c>
      <c r="L48" s="6" t="s">
        <v>29</v>
      </c>
      <c r="M48" s="6" t="s">
        <v>180</v>
      </c>
      <c r="N48" s="6">
        <v>1</v>
      </c>
      <c r="O48" s="6" t="s">
        <v>191</v>
      </c>
      <c r="P48" s="6" t="s">
        <v>31</v>
      </c>
      <c r="Q48" s="6" t="s">
        <v>229</v>
      </c>
      <c r="R48" s="6" t="s">
        <v>229</v>
      </c>
      <c r="S48" s="6" t="s">
        <v>229</v>
      </c>
      <c r="T48" s="6" t="s">
        <v>31</v>
      </c>
      <c r="U48" s="6" t="s">
        <v>229</v>
      </c>
      <c r="V48" s="6" t="s">
        <v>229</v>
      </c>
      <c r="W48" s="6" t="s">
        <v>31</v>
      </c>
      <c r="X48" s="6" t="s">
        <v>229</v>
      </c>
      <c r="Y48" s="6" t="s">
        <v>229</v>
      </c>
      <c r="Z48" s="6" t="s">
        <v>31</v>
      </c>
      <c r="AA48" s="6" t="s">
        <v>229</v>
      </c>
      <c r="AB48" s="6" t="s">
        <v>229</v>
      </c>
      <c r="AC48" s="6" t="s">
        <v>31</v>
      </c>
      <c r="AD48" s="6" t="s">
        <v>229</v>
      </c>
      <c r="AE48" s="6" t="s">
        <v>229</v>
      </c>
      <c r="AF48" s="6" t="s">
        <v>31</v>
      </c>
      <c r="AG48" s="6" t="s">
        <v>229</v>
      </c>
      <c r="AH48" s="6" t="s">
        <v>229</v>
      </c>
      <c r="AI48" s="6" t="s">
        <v>31</v>
      </c>
      <c r="AJ48" s="6" t="s">
        <v>229</v>
      </c>
      <c r="AK48" s="6" t="s">
        <v>229</v>
      </c>
      <c r="AL48" s="4"/>
      <c r="AM48" s="7"/>
      <c r="AN48" s="7"/>
      <c r="AO48" s="4"/>
      <c r="AP48" s="7"/>
      <c r="AQ48" s="7"/>
      <c r="AR48" s="4"/>
      <c r="AS48" s="7"/>
      <c r="AT48" s="7"/>
      <c r="AU48" s="6">
        <v>1</v>
      </c>
      <c r="AV48" s="6" t="s">
        <v>230</v>
      </c>
      <c r="AW48" s="6">
        <v>14</v>
      </c>
      <c r="AX48" s="6" t="s">
        <v>231</v>
      </c>
      <c r="AY48" s="6">
        <v>4</v>
      </c>
      <c r="AZ48" s="6" t="s">
        <v>231</v>
      </c>
      <c r="BA48" s="23" t="str">
        <f>'Fertilizer &amp; Pesticide demand'!H48</f>
        <v>Yes</v>
      </c>
      <c r="BB48" s="23">
        <f>'Fertilizer &amp; Pesticide demand'!I48</f>
        <v>1</v>
      </c>
      <c r="BC48" s="23" t="str">
        <f>'Fertilizer &amp; Pesticide demand'!J48</f>
        <v>Packets</v>
      </c>
      <c r="BD48" s="10" t="e">
        <f>'Fertilizer &amp; Pesticide demand'!#REF!</f>
        <v>#REF!</v>
      </c>
      <c r="BE48" s="10" t="e">
        <f>'Fertilizer &amp; Pesticide demand'!#REF!</f>
        <v>#REF!</v>
      </c>
      <c r="BF48" s="10" t="e">
        <f>'Fertilizer &amp; Pesticide demand'!#REF!</f>
        <v>#REF!</v>
      </c>
      <c r="BG48" s="10" t="str">
        <f>'Fertilizer &amp; Pesticide demand'!K48</f>
        <v>No</v>
      </c>
      <c r="BH48" s="10">
        <f>'Fertilizer &amp; Pesticide demand'!L48</f>
        <v>0</v>
      </c>
      <c r="BI48" s="10">
        <f>'Fertilizer &amp; Pesticide demand'!M48</f>
        <v>0</v>
      </c>
      <c r="BJ48" s="10" t="str">
        <f>'Fertilizer &amp; Pesticide demand'!N48</f>
        <v>Yes</v>
      </c>
      <c r="BK48" s="10">
        <f>'Fertilizer &amp; Pesticide demand'!O48</f>
        <v>1</v>
      </c>
      <c r="BL48" s="10" t="str">
        <f>'Fertilizer &amp; Pesticide demand'!P48</f>
        <v>Packet</v>
      </c>
    </row>
    <row r="49" spans="1:64" ht="20.100000000000001" customHeight="1" x14ac:dyDescent="0.25">
      <c r="A49" s="6">
        <f t="shared" si="1"/>
        <v>47</v>
      </c>
      <c r="B49" s="6" t="s">
        <v>10</v>
      </c>
      <c r="C49" s="28" t="s">
        <v>40</v>
      </c>
      <c r="D49" s="4"/>
      <c r="E49" s="6" t="s">
        <v>31</v>
      </c>
      <c r="F49" s="6" t="s">
        <v>11</v>
      </c>
      <c r="G49" s="6" t="s">
        <v>240</v>
      </c>
      <c r="H49" s="6" t="s">
        <v>228</v>
      </c>
      <c r="I49" s="6" t="s">
        <v>29</v>
      </c>
      <c r="J49" s="10" t="s">
        <v>173</v>
      </c>
      <c r="K49" s="6">
        <v>200</v>
      </c>
      <c r="L49" s="6" t="s">
        <v>29</v>
      </c>
      <c r="M49" s="6" t="s">
        <v>180</v>
      </c>
      <c r="N49" s="6">
        <v>1</v>
      </c>
      <c r="O49" s="6" t="s">
        <v>191</v>
      </c>
      <c r="P49" s="6" t="s">
        <v>31</v>
      </c>
      <c r="Q49" s="6" t="s">
        <v>229</v>
      </c>
      <c r="R49" s="6" t="s">
        <v>229</v>
      </c>
      <c r="S49" s="6" t="s">
        <v>229</v>
      </c>
      <c r="T49" s="6" t="s">
        <v>31</v>
      </c>
      <c r="U49" s="6" t="s">
        <v>229</v>
      </c>
      <c r="V49" s="6" t="s">
        <v>229</v>
      </c>
      <c r="W49" s="6" t="s">
        <v>31</v>
      </c>
      <c r="X49" s="6" t="s">
        <v>229</v>
      </c>
      <c r="Y49" s="6" t="s">
        <v>229</v>
      </c>
      <c r="Z49" s="6" t="s">
        <v>31</v>
      </c>
      <c r="AA49" s="6" t="s">
        <v>229</v>
      </c>
      <c r="AB49" s="6" t="s">
        <v>229</v>
      </c>
      <c r="AC49" s="6" t="s">
        <v>31</v>
      </c>
      <c r="AD49" s="6" t="s">
        <v>229</v>
      </c>
      <c r="AE49" s="6" t="s">
        <v>229</v>
      </c>
      <c r="AF49" s="6" t="s">
        <v>31</v>
      </c>
      <c r="AG49" s="6" t="s">
        <v>229</v>
      </c>
      <c r="AH49" s="6" t="s">
        <v>229</v>
      </c>
      <c r="AI49" s="6" t="s">
        <v>31</v>
      </c>
      <c r="AJ49" s="6" t="s">
        <v>229</v>
      </c>
      <c r="AK49" s="6" t="s">
        <v>229</v>
      </c>
      <c r="AL49" s="4"/>
      <c r="AM49" s="7"/>
      <c r="AN49" s="7"/>
      <c r="AO49" s="4"/>
      <c r="AP49" s="7"/>
      <c r="AQ49" s="7"/>
      <c r="AR49" s="4"/>
      <c r="AS49" s="7"/>
      <c r="AT49" s="7"/>
      <c r="AU49" s="6">
        <v>1</v>
      </c>
      <c r="AV49" s="6" t="s">
        <v>230</v>
      </c>
      <c r="AW49" s="6">
        <v>14</v>
      </c>
      <c r="AX49" s="6" t="s">
        <v>231</v>
      </c>
      <c r="AY49" s="6">
        <v>4</v>
      </c>
      <c r="AZ49" s="6" t="s">
        <v>231</v>
      </c>
      <c r="BA49" s="23" t="str">
        <f>'Fertilizer &amp; Pesticide demand'!H49</f>
        <v>Yes</v>
      </c>
      <c r="BB49" s="23">
        <f>'Fertilizer &amp; Pesticide demand'!I49</f>
        <v>1</v>
      </c>
      <c r="BC49" s="23" t="str">
        <f>'Fertilizer &amp; Pesticide demand'!J49</f>
        <v>Packets</v>
      </c>
      <c r="BD49" s="10" t="e">
        <f>'Fertilizer &amp; Pesticide demand'!#REF!</f>
        <v>#REF!</v>
      </c>
      <c r="BE49" s="10" t="e">
        <f>'Fertilizer &amp; Pesticide demand'!#REF!</f>
        <v>#REF!</v>
      </c>
      <c r="BF49" s="10" t="e">
        <f>'Fertilizer &amp; Pesticide demand'!#REF!</f>
        <v>#REF!</v>
      </c>
      <c r="BG49" s="10" t="str">
        <f>'Fertilizer &amp; Pesticide demand'!K49</f>
        <v>No</v>
      </c>
      <c r="BH49" s="10">
        <f>'Fertilizer &amp; Pesticide demand'!L49</f>
        <v>0</v>
      </c>
      <c r="BI49" s="10">
        <f>'Fertilizer &amp; Pesticide demand'!M49</f>
        <v>0</v>
      </c>
      <c r="BJ49" s="10" t="str">
        <f>'Fertilizer &amp; Pesticide demand'!N49</f>
        <v>Yes</v>
      </c>
      <c r="BK49" s="10">
        <f>'Fertilizer &amp; Pesticide demand'!O49</f>
        <v>1</v>
      </c>
      <c r="BL49" s="10" t="str">
        <f>'Fertilizer &amp; Pesticide demand'!P49</f>
        <v>Packet</v>
      </c>
    </row>
    <row r="50" spans="1:64" ht="20.100000000000001" customHeight="1" x14ac:dyDescent="0.25">
      <c r="A50" s="6">
        <f t="shared" si="1"/>
        <v>48</v>
      </c>
      <c r="B50" s="6" t="s">
        <v>10</v>
      </c>
      <c r="C50" s="28" t="s">
        <v>38</v>
      </c>
      <c r="D50" s="4"/>
      <c r="E50" s="6" t="s">
        <v>31</v>
      </c>
      <c r="F50" s="6" t="s">
        <v>11</v>
      </c>
      <c r="G50" s="6" t="s">
        <v>240</v>
      </c>
      <c r="H50" s="6" t="s">
        <v>228</v>
      </c>
      <c r="I50" s="6" t="s">
        <v>29</v>
      </c>
      <c r="J50" s="10" t="s">
        <v>173</v>
      </c>
      <c r="K50" s="6">
        <v>200</v>
      </c>
      <c r="L50" s="6" t="s">
        <v>29</v>
      </c>
      <c r="M50" s="6" t="s">
        <v>180</v>
      </c>
      <c r="N50" s="6">
        <v>1</v>
      </c>
      <c r="O50" s="6" t="s">
        <v>191</v>
      </c>
      <c r="P50" s="6" t="s">
        <v>31</v>
      </c>
      <c r="Q50" s="6" t="s">
        <v>229</v>
      </c>
      <c r="R50" s="6" t="s">
        <v>229</v>
      </c>
      <c r="S50" s="6" t="s">
        <v>229</v>
      </c>
      <c r="T50" s="6" t="s">
        <v>31</v>
      </c>
      <c r="U50" s="6" t="s">
        <v>229</v>
      </c>
      <c r="V50" s="6" t="s">
        <v>229</v>
      </c>
      <c r="W50" s="6" t="s">
        <v>31</v>
      </c>
      <c r="X50" s="6" t="s">
        <v>229</v>
      </c>
      <c r="Y50" s="6" t="s">
        <v>229</v>
      </c>
      <c r="Z50" s="6" t="s">
        <v>31</v>
      </c>
      <c r="AA50" s="6" t="s">
        <v>229</v>
      </c>
      <c r="AB50" s="6" t="s">
        <v>229</v>
      </c>
      <c r="AC50" s="6" t="s">
        <v>31</v>
      </c>
      <c r="AD50" s="6" t="s">
        <v>229</v>
      </c>
      <c r="AE50" s="6" t="s">
        <v>229</v>
      </c>
      <c r="AF50" s="6" t="s">
        <v>31</v>
      </c>
      <c r="AG50" s="6" t="s">
        <v>229</v>
      </c>
      <c r="AH50" s="6" t="s">
        <v>229</v>
      </c>
      <c r="AI50" s="6" t="s">
        <v>31</v>
      </c>
      <c r="AJ50" s="6" t="s">
        <v>229</v>
      </c>
      <c r="AK50" s="6" t="s">
        <v>229</v>
      </c>
      <c r="AL50" s="4"/>
      <c r="AM50" s="7"/>
      <c r="AN50" s="7"/>
      <c r="AO50" s="4"/>
      <c r="AP50" s="7"/>
      <c r="AQ50" s="7"/>
      <c r="AR50" s="4"/>
      <c r="AS50" s="7"/>
      <c r="AT50" s="7"/>
      <c r="AU50" s="6">
        <v>1</v>
      </c>
      <c r="AV50" s="6" t="s">
        <v>230</v>
      </c>
      <c r="AW50" s="6">
        <v>14</v>
      </c>
      <c r="AX50" s="6" t="s">
        <v>231</v>
      </c>
      <c r="AY50" s="6">
        <v>4</v>
      </c>
      <c r="AZ50" s="6" t="s">
        <v>231</v>
      </c>
      <c r="BA50" s="23" t="str">
        <f>'Fertilizer &amp; Pesticide demand'!H50</f>
        <v>Yes</v>
      </c>
      <c r="BB50" s="23">
        <f>'Fertilizer &amp; Pesticide demand'!I50</f>
        <v>1</v>
      </c>
      <c r="BC50" s="23" t="str">
        <f>'Fertilizer &amp; Pesticide demand'!J50</f>
        <v>Packets</v>
      </c>
      <c r="BD50" s="10" t="e">
        <f>'Fertilizer &amp; Pesticide demand'!#REF!</f>
        <v>#REF!</v>
      </c>
      <c r="BE50" s="10" t="e">
        <f>'Fertilizer &amp; Pesticide demand'!#REF!</f>
        <v>#REF!</v>
      </c>
      <c r="BF50" s="10" t="e">
        <f>'Fertilizer &amp; Pesticide demand'!#REF!</f>
        <v>#REF!</v>
      </c>
      <c r="BG50" s="10" t="str">
        <f>'Fertilizer &amp; Pesticide demand'!K50</f>
        <v>No</v>
      </c>
      <c r="BH50" s="10">
        <f>'Fertilizer &amp; Pesticide demand'!L50</f>
        <v>0</v>
      </c>
      <c r="BI50" s="10">
        <f>'Fertilizer &amp; Pesticide demand'!M50</f>
        <v>0</v>
      </c>
      <c r="BJ50" s="10" t="str">
        <f>'Fertilizer &amp; Pesticide demand'!N50</f>
        <v>Yes</v>
      </c>
      <c r="BK50" s="10">
        <f>'Fertilizer &amp; Pesticide demand'!O50</f>
        <v>1</v>
      </c>
      <c r="BL50" s="10" t="str">
        <f>'Fertilizer &amp; Pesticide demand'!P50</f>
        <v>Packet</v>
      </c>
    </row>
    <row r="51" spans="1:64" ht="20.100000000000001" customHeight="1" x14ac:dyDescent="0.25">
      <c r="A51" s="6">
        <f t="shared" si="1"/>
        <v>49</v>
      </c>
      <c r="B51" s="6" t="s">
        <v>10</v>
      </c>
      <c r="C51" s="28" t="s">
        <v>41</v>
      </c>
      <c r="D51" s="4"/>
      <c r="E51" s="6" t="s">
        <v>31</v>
      </c>
      <c r="F51" s="6" t="s">
        <v>11</v>
      </c>
      <c r="G51" s="6" t="s">
        <v>240</v>
      </c>
      <c r="H51" s="6" t="s">
        <v>228</v>
      </c>
      <c r="I51" s="6" t="s">
        <v>29</v>
      </c>
      <c r="J51" s="10" t="s">
        <v>173</v>
      </c>
      <c r="K51" s="6">
        <v>200</v>
      </c>
      <c r="L51" s="6" t="s">
        <v>29</v>
      </c>
      <c r="M51" s="6" t="s">
        <v>180</v>
      </c>
      <c r="N51" s="6">
        <v>1</v>
      </c>
      <c r="O51" s="6" t="s">
        <v>191</v>
      </c>
      <c r="P51" s="6" t="s">
        <v>31</v>
      </c>
      <c r="Q51" s="6" t="s">
        <v>229</v>
      </c>
      <c r="R51" s="6" t="s">
        <v>229</v>
      </c>
      <c r="S51" s="6" t="s">
        <v>229</v>
      </c>
      <c r="T51" s="6" t="s">
        <v>31</v>
      </c>
      <c r="U51" s="6" t="s">
        <v>229</v>
      </c>
      <c r="V51" s="6" t="s">
        <v>229</v>
      </c>
      <c r="W51" s="6" t="s">
        <v>31</v>
      </c>
      <c r="X51" s="6" t="s">
        <v>229</v>
      </c>
      <c r="Y51" s="6" t="s">
        <v>229</v>
      </c>
      <c r="Z51" s="6" t="s">
        <v>31</v>
      </c>
      <c r="AA51" s="6" t="s">
        <v>229</v>
      </c>
      <c r="AB51" s="6" t="s">
        <v>229</v>
      </c>
      <c r="AC51" s="6" t="s">
        <v>31</v>
      </c>
      <c r="AD51" s="6" t="s">
        <v>229</v>
      </c>
      <c r="AE51" s="6" t="s">
        <v>229</v>
      </c>
      <c r="AF51" s="6" t="s">
        <v>31</v>
      </c>
      <c r="AG51" s="6" t="s">
        <v>229</v>
      </c>
      <c r="AH51" s="6" t="s">
        <v>229</v>
      </c>
      <c r="AI51" s="6" t="s">
        <v>31</v>
      </c>
      <c r="AJ51" s="6" t="s">
        <v>229</v>
      </c>
      <c r="AK51" s="6" t="s">
        <v>229</v>
      </c>
      <c r="AL51" s="4"/>
      <c r="AM51" s="7"/>
      <c r="AN51" s="7"/>
      <c r="AO51" s="4"/>
      <c r="AP51" s="7"/>
      <c r="AQ51" s="7"/>
      <c r="AR51" s="4"/>
      <c r="AS51" s="7"/>
      <c r="AT51" s="7"/>
      <c r="AU51" s="6">
        <v>1</v>
      </c>
      <c r="AV51" s="6" t="s">
        <v>230</v>
      </c>
      <c r="AW51" s="6">
        <v>14</v>
      </c>
      <c r="AX51" s="6" t="s">
        <v>231</v>
      </c>
      <c r="AY51" s="6">
        <v>4</v>
      </c>
      <c r="AZ51" s="6" t="s">
        <v>231</v>
      </c>
      <c r="BA51" s="23" t="str">
        <f>'Fertilizer &amp; Pesticide demand'!H51</f>
        <v>Yes</v>
      </c>
      <c r="BB51" s="23">
        <f>'Fertilizer &amp; Pesticide demand'!I51</f>
        <v>1</v>
      </c>
      <c r="BC51" s="23" t="str">
        <f>'Fertilizer &amp; Pesticide demand'!J51</f>
        <v>Packets</v>
      </c>
      <c r="BD51" s="10" t="e">
        <f>'Fertilizer &amp; Pesticide demand'!#REF!</f>
        <v>#REF!</v>
      </c>
      <c r="BE51" s="10" t="e">
        <f>'Fertilizer &amp; Pesticide demand'!#REF!</f>
        <v>#REF!</v>
      </c>
      <c r="BF51" s="10" t="e">
        <f>'Fertilizer &amp; Pesticide demand'!#REF!</f>
        <v>#REF!</v>
      </c>
      <c r="BG51" s="10" t="str">
        <f>'Fertilizer &amp; Pesticide demand'!K51</f>
        <v>No</v>
      </c>
      <c r="BH51" s="10">
        <f>'Fertilizer &amp; Pesticide demand'!L51</f>
        <v>0</v>
      </c>
      <c r="BI51" s="10">
        <f>'Fertilizer &amp; Pesticide demand'!M51</f>
        <v>0</v>
      </c>
      <c r="BJ51" s="10" t="str">
        <f>'Fertilizer &amp; Pesticide demand'!N51</f>
        <v>Yes</v>
      </c>
      <c r="BK51" s="10">
        <f>'Fertilizer &amp; Pesticide demand'!O51</f>
        <v>1</v>
      </c>
      <c r="BL51" s="10" t="str">
        <f>'Fertilizer &amp; Pesticide demand'!P51</f>
        <v>Packet</v>
      </c>
    </row>
    <row r="52" spans="1:64" ht="20.100000000000001" customHeight="1" x14ac:dyDescent="0.25">
      <c r="A52" s="6">
        <f t="shared" si="1"/>
        <v>50</v>
      </c>
      <c r="B52" s="6" t="s">
        <v>10</v>
      </c>
      <c r="C52" s="28" t="s">
        <v>48</v>
      </c>
      <c r="D52" s="4"/>
      <c r="E52" s="6" t="s">
        <v>31</v>
      </c>
      <c r="F52" s="6" t="s">
        <v>11</v>
      </c>
      <c r="G52" s="6" t="s">
        <v>240</v>
      </c>
      <c r="H52" s="6" t="s">
        <v>228</v>
      </c>
      <c r="I52" s="6" t="s">
        <v>29</v>
      </c>
      <c r="J52" s="10" t="s">
        <v>173</v>
      </c>
      <c r="K52" s="6">
        <v>200</v>
      </c>
      <c r="L52" s="6" t="s">
        <v>29</v>
      </c>
      <c r="M52" s="6" t="s">
        <v>180</v>
      </c>
      <c r="N52" s="6">
        <v>1</v>
      </c>
      <c r="O52" s="6" t="s">
        <v>191</v>
      </c>
      <c r="P52" s="6" t="s">
        <v>31</v>
      </c>
      <c r="Q52" s="6" t="s">
        <v>229</v>
      </c>
      <c r="R52" s="6" t="s">
        <v>229</v>
      </c>
      <c r="S52" s="6" t="s">
        <v>229</v>
      </c>
      <c r="T52" s="6" t="s">
        <v>31</v>
      </c>
      <c r="U52" s="6" t="s">
        <v>229</v>
      </c>
      <c r="V52" s="6" t="s">
        <v>229</v>
      </c>
      <c r="W52" s="6" t="s">
        <v>31</v>
      </c>
      <c r="X52" s="6" t="s">
        <v>229</v>
      </c>
      <c r="Y52" s="6" t="s">
        <v>229</v>
      </c>
      <c r="Z52" s="6" t="s">
        <v>31</v>
      </c>
      <c r="AA52" s="6" t="s">
        <v>229</v>
      </c>
      <c r="AB52" s="6" t="s">
        <v>229</v>
      </c>
      <c r="AC52" s="6" t="s">
        <v>31</v>
      </c>
      <c r="AD52" s="6" t="s">
        <v>229</v>
      </c>
      <c r="AE52" s="6" t="s">
        <v>229</v>
      </c>
      <c r="AF52" s="6" t="s">
        <v>31</v>
      </c>
      <c r="AG52" s="6" t="s">
        <v>229</v>
      </c>
      <c r="AH52" s="6" t="s">
        <v>229</v>
      </c>
      <c r="AI52" s="6" t="s">
        <v>31</v>
      </c>
      <c r="AJ52" s="6" t="s">
        <v>229</v>
      </c>
      <c r="AK52" s="6" t="s">
        <v>229</v>
      </c>
      <c r="AL52" s="4"/>
      <c r="AM52" s="7"/>
      <c r="AN52" s="7"/>
      <c r="AO52" s="4"/>
      <c r="AP52" s="7"/>
      <c r="AQ52" s="7"/>
      <c r="AR52" s="4"/>
      <c r="AS52" s="7"/>
      <c r="AT52" s="7"/>
      <c r="AU52" s="6">
        <v>1</v>
      </c>
      <c r="AV52" s="6" t="s">
        <v>230</v>
      </c>
      <c r="AW52" s="6">
        <v>14</v>
      </c>
      <c r="AX52" s="6" t="s">
        <v>231</v>
      </c>
      <c r="AY52" s="6">
        <v>4</v>
      </c>
      <c r="AZ52" s="6" t="s">
        <v>231</v>
      </c>
      <c r="BA52" s="23" t="str">
        <f>'Fertilizer &amp; Pesticide demand'!H52</f>
        <v>Yes</v>
      </c>
      <c r="BB52" s="23">
        <f>'Fertilizer &amp; Pesticide demand'!I52</f>
        <v>1</v>
      </c>
      <c r="BC52" s="23" t="str">
        <f>'Fertilizer &amp; Pesticide demand'!J52</f>
        <v>Packets</v>
      </c>
      <c r="BD52" s="10" t="e">
        <f>'Fertilizer &amp; Pesticide demand'!#REF!</f>
        <v>#REF!</v>
      </c>
      <c r="BE52" s="10" t="e">
        <f>'Fertilizer &amp; Pesticide demand'!#REF!</f>
        <v>#REF!</v>
      </c>
      <c r="BF52" s="10" t="e">
        <f>'Fertilizer &amp; Pesticide demand'!#REF!</f>
        <v>#REF!</v>
      </c>
      <c r="BG52" s="10" t="str">
        <f>'Fertilizer &amp; Pesticide demand'!K52</f>
        <v>No</v>
      </c>
      <c r="BH52" s="10">
        <f>'Fertilizer &amp; Pesticide demand'!L52</f>
        <v>0</v>
      </c>
      <c r="BI52" s="10">
        <f>'Fertilizer &amp; Pesticide demand'!M52</f>
        <v>0</v>
      </c>
      <c r="BJ52" s="10" t="str">
        <f>'Fertilizer &amp; Pesticide demand'!N52</f>
        <v>Yes</v>
      </c>
      <c r="BK52" s="10">
        <f>'Fertilizer &amp; Pesticide demand'!O52</f>
        <v>1</v>
      </c>
      <c r="BL52" s="10" t="str">
        <f>'Fertilizer &amp; Pesticide demand'!P52</f>
        <v>Packet</v>
      </c>
    </row>
    <row r="53" spans="1:64" ht="20.100000000000001" customHeight="1" x14ac:dyDescent="0.25">
      <c r="A53" s="6">
        <f t="shared" si="1"/>
        <v>51</v>
      </c>
      <c r="B53" s="6" t="s">
        <v>10</v>
      </c>
      <c r="C53" s="28" t="s">
        <v>58</v>
      </c>
      <c r="D53" s="4"/>
      <c r="E53" s="6" t="s">
        <v>31</v>
      </c>
      <c r="F53" s="6" t="s">
        <v>11</v>
      </c>
      <c r="G53" s="6" t="s">
        <v>240</v>
      </c>
      <c r="H53" s="6" t="s">
        <v>228</v>
      </c>
      <c r="I53" s="6" t="s">
        <v>29</v>
      </c>
      <c r="J53" s="10" t="s">
        <v>173</v>
      </c>
      <c r="K53" s="6">
        <v>200</v>
      </c>
      <c r="L53" s="6" t="s">
        <v>29</v>
      </c>
      <c r="M53" s="6" t="s">
        <v>180</v>
      </c>
      <c r="N53" s="6">
        <v>1</v>
      </c>
      <c r="O53" s="6" t="s">
        <v>191</v>
      </c>
      <c r="P53" s="6" t="s">
        <v>31</v>
      </c>
      <c r="Q53" s="6" t="s">
        <v>229</v>
      </c>
      <c r="R53" s="6" t="s">
        <v>229</v>
      </c>
      <c r="S53" s="6" t="s">
        <v>229</v>
      </c>
      <c r="T53" s="6" t="s">
        <v>31</v>
      </c>
      <c r="U53" s="6" t="s">
        <v>229</v>
      </c>
      <c r="V53" s="6" t="s">
        <v>229</v>
      </c>
      <c r="W53" s="6" t="s">
        <v>31</v>
      </c>
      <c r="X53" s="6" t="s">
        <v>229</v>
      </c>
      <c r="Y53" s="6" t="s">
        <v>229</v>
      </c>
      <c r="Z53" s="6" t="s">
        <v>31</v>
      </c>
      <c r="AA53" s="6" t="s">
        <v>229</v>
      </c>
      <c r="AB53" s="6" t="s">
        <v>229</v>
      </c>
      <c r="AC53" s="6" t="s">
        <v>31</v>
      </c>
      <c r="AD53" s="6" t="s">
        <v>229</v>
      </c>
      <c r="AE53" s="6" t="s">
        <v>229</v>
      </c>
      <c r="AF53" s="6" t="s">
        <v>31</v>
      </c>
      <c r="AG53" s="6" t="s">
        <v>229</v>
      </c>
      <c r="AH53" s="6" t="s">
        <v>229</v>
      </c>
      <c r="AI53" s="6" t="s">
        <v>31</v>
      </c>
      <c r="AJ53" s="6" t="s">
        <v>229</v>
      </c>
      <c r="AK53" s="6" t="s">
        <v>229</v>
      </c>
      <c r="AL53" s="4"/>
      <c r="AM53" s="7"/>
      <c r="AN53" s="7"/>
      <c r="AO53" s="4"/>
      <c r="AP53" s="7"/>
      <c r="AQ53" s="7"/>
      <c r="AR53" s="4"/>
      <c r="AS53" s="7"/>
      <c r="AT53" s="7"/>
      <c r="AU53" s="6">
        <v>1</v>
      </c>
      <c r="AV53" s="6" t="s">
        <v>230</v>
      </c>
      <c r="AW53" s="6">
        <v>14</v>
      </c>
      <c r="AX53" s="6" t="s">
        <v>231</v>
      </c>
      <c r="AY53" s="6">
        <v>4</v>
      </c>
      <c r="AZ53" s="6" t="s">
        <v>231</v>
      </c>
      <c r="BA53" s="23" t="str">
        <f>'Fertilizer &amp; Pesticide demand'!H53</f>
        <v>Yes</v>
      </c>
      <c r="BB53" s="23">
        <f>'Fertilizer &amp; Pesticide demand'!I53</f>
        <v>1</v>
      </c>
      <c r="BC53" s="23" t="str">
        <f>'Fertilizer &amp; Pesticide demand'!J53</f>
        <v>Packets</v>
      </c>
      <c r="BD53" s="10" t="e">
        <f>'Fertilizer &amp; Pesticide demand'!#REF!</f>
        <v>#REF!</v>
      </c>
      <c r="BE53" s="10" t="e">
        <f>'Fertilizer &amp; Pesticide demand'!#REF!</f>
        <v>#REF!</v>
      </c>
      <c r="BF53" s="10" t="e">
        <f>'Fertilizer &amp; Pesticide demand'!#REF!</f>
        <v>#REF!</v>
      </c>
      <c r="BG53" s="10" t="str">
        <f>'Fertilizer &amp; Pesticide demand'!K53</f>
        <v>No</v>
      </c>
      <c r="BH53" s="10">
        <f>'Fertilizer &amp; Pesticide demand'!L53</f>
        <v>0</v>
      </c>
      <c r="BI53" s="10">
        <f>'Fertilizer &amp; Pesticide demand'!M53</f>
        <v>0</v>
      </c>
      <c r="BJ53" s="10" t="str">
        <f>'Fertilizer &amp; Pesticide demand'!N53</f>
        <v>Yes</v>
      </c>
      <c r="BK53" s="10">
        <f>'Fertilizer &amp; Pesticide demand'!O53</f>
        <v>1</v>
      </c>
      <c r="BL53" s="10" t="str">
        <f>'Fertilizer &amp; Pesticide demand'!P53</f>
        <v>Packet</v>
      </c>
    </row>
    <row r="54" spans="1:64" ht="20.100000000000001" customHeight="1" x14ac:dyDescent="0.25">
      <c r="A54" s="6">
        <f t="shared" si="1"/>
        <v>52</v>
      </c>
      <c r="B54" s="6" t="s">
        <v>10</v>
      </c>
      <c r="C54" s="28" t="s">
        <v>62</v>
      </c>
      <c r="D54" s="4"/>
      <c r="E54" s="6" t="s">
        <v>31</v>
      </c>
      <c r="F54" s="6" t="s">
        <v>11</v>
      </c>
      <c r="G54" s="6" t="s">
        <v>240</v>
      </c>
      <c r="H54" s="6" t="s">
        <v>228</v>
      </c>
      <c r="I54" s="6" t="s">
        <v>29</v>
      </c>
      <c r="J54" s="10" t="s">
        <v>173</v>
      </c>
      <c r="K54" s="6">
        <v>200</v>
      </c>
      <c r="L54" s="6" t="s">
        <v>29</v>
      </c>
      <c r="M54" s="6" t="s">
        <v>180</v>
      </c>
      <c r="N54" s="6">
        <v>1</v>
      </c>
      <c r="O54" s="6" t="s">
        <v>191</v>
      </c>
      <c r="P54" s="6" t="s">
        <v>31</v>
      </c>
      <c r="Q54" s="6" t="s">
        <v>229</v>
      </c>
      <c r="R54" s="6" t="s">
        <v>229</v>
      </c>
      <c r="S54" s="6" t="s">
        <v>229</v>
      </c>
      <c r="T54" s="6" t="s">
        <v>31</v>
      </c>
      <c r="U54" s="6" t="s">
        <v>229</v>
      </c>
      <c r="V54" s="6" t="s">
        <v>229</v>
      </c>
      <c r="W54" s="6" t="s">
        <v>31</v>
      </c>
      <c r="X54" s="6" t="s">
        <v>229</v>
      </c>
      <c r="Y54" s="6" t="s">
        <v>229</v>
      </c>
      <c r="Z54" s="6" t="s">
        <v>31</v>
      </c>
      <c r="AA54" s="6" t="s">
        <v>229</v>
      </c>
      <c r="AB54" s="6" t="s">
        <v>229</v>
      </c>
      <c r="AC54" s="6" t="s">
        <v>31</v>
      </c>
      <c r="AD54" s="6" t="s">
        <v>229</v>
      </c>
      <c r="AE54" s="6" t="s">
        <v>229</v>
      </c>
      <c r="AF54" s="6" t="s">
        <v>31</v>
      </c>
      <c r="AG54" s="6" t="s">
        <v>229</v>
      </c>
      <c r="AH54" s="6" t="s">
        <v>229</v>
      </c>
      <c r="AI54" s="6" t="s">
        <v>31</v>
      </c>
      <c r="AJ54" s="6" t="s">
        <v>229</v>
      </c>
      <c r="AK54" s="6" t="s">
        <v>229</v>
      </c>
      <c r="AL54" s="4"/>
      <c r="AM54" s="7"/>
      <c r="AN54" s="7"/>
      <c r="AO54" s="4"/>
      <c r="AP54" s="7"/>
      <c r="AQ54" s="7"/>
      <c r="AR54" s="4"/>
      <c r="AS54" s="7"/>
      <c r="AT54" s="7"/>
      <c r="AU54" s="6">
        <v>1</v>
      </c>
      <c r="AV54" s="6" t="s">
        <v>230</v>
      </c>
      <c r="AW54" s="6">
        <v>14</v>
      </c>
      <c r="AX54" s="6" t="s">
        <v>231</v>
      </c>
      <c r="AY54" s="6">
        <v>4</v>
      </c>
      <c r="AZ54" s="6" t="s">
        <v>231</v>
      </c>
      <c r="BA54" s="23" t="str">
        <f>'Fertilizer &amp; Pesticide demand'!H54</f>
        <v>Yes</v>
      </c>
      <c r="BB54" s="23">
        <f>'Fertilizer &amp; Pesticide demand'!I54</f>
        <v>1</v>
      </c>
      <c r="BC54" s="23" t="str">
        <f>'Fertilizer &amp; Pesticide demand'!J54</f>
        <v>Packets</v>
      </c>
      <c r="BD54" s="10" t="e">
        <f>'Fertilizer &amp; Pesticide demand'!#REF!</f>
        <v>#REF!</v>
      </c>
      <c r="BE54" s="10" t="e">
        <f>'Fertilizer &amp; Pesticide demand'!#REF!</f>
        <v>#REF!</v>
      </c>
      <c r="BF54" s="10" t="e">
        <f>'Fertilizer &amp; Pesticide demand'!#REF!</f>
        <v>#REF!</v>
      </c>
      <c r="BG54" s="10" t="str">
        <f>'Fertilizer &amp; Pesticide demand'!K54</f>
        <v>No</v>
      </c>
      <c r="BH54" s="10">
        <f>'Fertilizer &amp; Pesticide demand'!L54</f>
        <v>0</v>
      </c>
      <c r="BI54" s="10">
        <f>'Fertilizer &amp; Pesticide demand'!M54</f>
        <v>0</v>
      </c>
      <c r="BJ54" s="10" t="str">
        <f>'Fertilizer &amp; Pesticide demand'!N54</f>
        <v>Yes</v>
      </c>
      <c r="BK54" s="10">
        <f>'Fertilizer &amp; Pesticide demand'!O54</f>
        <v>1</v>
      </c>
      <c r="BL54" s="10" t="str">
        <f>'Fertilizer &amp; Pesticide demand'!P54</f>
        <v>Packet</v>
      </c>
    </row>
    <row r="55" spans="1:64" ht="20.100000000000001" customHeight="1" x14ac:dyDescent="0.25">
      <c r="A55" s="6">
        <f t="shared" si="1"/>
        <v>53</v>
      </c>
      <c r="B55" s="6" t="s">
        <v>10</v>
      </c>
      <c r="C55" s="28" t="s">
        <v>66</v>
      </c>
      <c r="D55" s="4"/>
      <c r="E55" s="6" t="s">
        <v>31</v>
      </c>
      <c r="F55" s="6" t="s">
        <v>11</v>
      </c>
      <c r="G55" s="6" t="s">
        <v>240</v>
      </c>
      <c r="H55" s="6" t="s">
        <v>228</v>
      </c>
      <c r="I55" s="6" t="s">
        <v>29</v>
      </c>
      <c r="J55" s="10" t="s">
        <v>173</v>
      </c>
      <c r="K55" s="6">
        <v>200</v>
      </c>
      <c r="L55" s="6" t="s">
        <v>29</v>
      </c>
      <c r="M55" s="6" t="s">
        <v>180</v>
      </c>
      <c r="N55" s="6">
        <v>1</v>
      </c>
      <c r="O55" s="6" t="s">
        <v>191</v>
      </c>
      <c r="P55" s="6" t="s">
        <v>31</v>
      </c>
      <c r="Q55" s="6" t="s">
        <v>229</v>
      </c>
      <c r="R55" s="6" t="s">
        <v>229</v>
      </c>
      <c r="S55" s="6" t="s">
        <v>229</v>
      </c>
      <c r="T55" s="6" t="s">
        <v>31</v>
      </c>
      <c r="U55" s="6" t="s">
        <v>229</v>
      </c>
      <c r="V55" s="6" t="s">
        <v>229</v>
      </c>
      <c r="W55" s="6" t="s">
        <v>31</v>
      </c>
      <c r="X55" s="6" t="s">
        <v>229</v>
      </c>
      <c r="Y55" s="6" t="s">
        <v>229</v>
      </c>
      <c r="Z55" s="6" t="s">
        <v>31</v>
      </c>
      <c r="AA55" s="6" t="s">
        <v>229</v>
      </c>
      <c r="AB55" s="6" t="s">
        <v>229</v>
      </c>
      <c r="AC55" s="6" t="s">
        <v>31</v>
      </c>
      <c r="AD55" s="6" t="s">
        <v>229</v>
      </c>
      <c r="AE55" s="6" t="s">
        <v>229</v>
      </c>
      <c r="AF55" s="6" t="s">
        <v>31</v>
      </c>
      <c r="AG55" s="6" t="s">
        <v>229</v>
      </c>
      <c r="AH55" s="6" t="s">
        <v>229</v>
      </c>
      <c r="AI55" s="6" t="s">
        <v>31</v>
      </c>
      <c r="AJ55" s="6" t="s">
        <v>229</v>
      </c>
      <c r="AK55" s="6" t="s">
        <v>229</v>
      </c>
      <c r="AL55" s="4"/>
      <c r="AM55" s="7"/>
      <c r="AN55" s="7"/>
      <c r="AO55" s="4"/>
      <c r="AP55" s="7"/>
      <c r="AQ55" s="7"/>
      <c r="AR55" s="4"/>
      <c r="AS55" s="7"/>
      <c r="AT55" s="7"/>
      <c r="AU55" s="6">
        <v>1</v>
      </c>
      <c r="AV55" s="6" t="s">
        <v>230</v>
      </c>
      <c r="AW55" s="6">
        <v>14</v>
      </c>
      <c r="AX55" s="6" t="s">
        <v>231</v>
      </c>
      <c r="AY55" s="6">
        <v>4</v>
      </c>
      <c r="AZ55" s="6" t="s">
        <v>231</v>
      </c>
      <c r="BA55" s="23" t="str">
        <f>'Fertilizer &amp; Pesticide demand'!H55</f>
        <v>Yes</v>
      </c>
      <c r="BB55" s="23">
        <f>'Fertilizer &amp; Pesticide demand'!I55</f>
        <v>1</v>
      </c>
      <c r="BC55" s="23" t="str">
        <f>'Fertilizer &amp; Pesticide demand'!J55</f>
        <v>Packets</v>
      </c>
      <c r="BD55" s="10" t="e">
        <f>'Fertilizer &amp; Pesticide demand'!#REF!</f>
        <v>#REF!</v>
      </c>
      <c r="BE55" s="10" t="e">
        <f>'Fertilizer &amp; Pesticide demand'!#REF!</f>
        <v>#REF!</v>
      </c>
      <c r="BF55" s="10" t="e">
        <f>'Fertilizer &amp; Pesticide demand'!#REF!</f>
        <v>#REF!</v>
      </c>
      <c r="BG55" s="10" t="str">
        <f>'Fertilizer &amp; Pesticide demand'!K55</f>
        <v>No</v>
      </c>
      <c r="BH55" s="10">
        <f>'Fertilizer &amp; Pesticide demand'!L55</f>
        <v>0</v>
      </c>
      <c r="BI55" s="10">
        <f>'Fertilizer &amp; Pesticide demand'!M55</f>
        <v>0</v>
      </c>
      <c r="BJ55" s="10" t="str">
        <f>'Fertilizer &amp; Pesticide demand'!N55</f>
        <v>Yes</v>
      </c>
      <c r="BK55" s="10">
        <f>'Fertilizer &amp; Pesticide demand'!O55</f>
        <v>1</v>
      </c>
      <c r="BL55" s="10" t="str">
        <f>'Fertilizer &amp; Pesticide demand'!P55</f>
        <v>Packet</v>
      </c>
    </row>
    <row r="56" spans="1:64" ht="20.100000000000001" customHeight="1" x14ac:dyDescent="0.25">
      <c r="A56" s="6">
        <f t="shared" si="1"/>
        <v>54</v>
      </c>
      <c r="B56" s="6" t="s">
        <v>10</v>
      </c>
      <c r="C56" s="28" t="s">
        <v>72</v>
      </c>
      <c r="D56" s="4"/>
      <c r="E56" s="6" t="s">
        <v>31</v>
      </c>
      <c r="F56" s="6" t="s">
        <v>11</v>
      </c>
      <c r="G56" s="6" t="s">
        <v>240</v>
      </c>
      <c r="H56" s="6" t="s">
        <v>228</v>
      </c>
      <c r="I56" s="6" t="s">
        <v>29</v>
      </c>
      <c r="J56" s="10" t="s">
        <v>173</v>
      </c>
      <c r="K56" s="6">
        <v>200</v>
      </c>
      <c r="L56" s="6" t="s">
        <v>29</v>
      </c>
      <c r="M56" s="6" t="s">
        <v>180</v>
      </c>
      <c r="N56" s="6">
        <v>1</v>
      </c>
      <c r="O56" s="6" t="s">
        <v>191</v>
      </c>
      <c r="P56" s="6" t="s">
        <v>31</v>
      </c>
      <c r="Q56" s="6" t="s">
        <v>229</v>
      </c>
      <c r="R56" s="6" t="s">
        <v>229</v>
      </c>
      <c r="S56" s="6" t="s">
        <v>229</v>
      </c>
      <c r="T56" s="6" t="s">
        <v>31</v>
      </c>
      <c r="U56" s="6" t="s">
        <v>229</v>
      </c>
      <c r="V56" s="6" t="s">
        <v>229</v>
      </c>
      <c r="W56" s="6" t="s">
        <v>31</v>
      </c>
      <c r="X56" s="6" t="s">
        <v>229</v>
      </c>
      <c r="Y56" s="6" t="s">
        <v>229</v>
      </c>
      <c r="Z56" s="6" t="s">
        <v>31</v>
      </c>
      <c r="AA56" s="6" t="s">
        <v>229</v>
      </c>
      <c r="AB56" s="6" t="s">
        <v>229</v>
      </c>
      <c r="AC56" s="6" t="s">
        <v>31</v>
      </c>
      <c r="AD56" s="6" t="s">
        <v>229</v>
      </c>
      <c r="AE56" s="6" t="s">
        <v>229</v>
      </c>
      <c r="AF56" s="6" t="s">
        <v>31</v>
      </c>
      <c r="AG56" s="6" t="s">
        <v>229</v>
      </c>
      <c r="AH56" s="6" t="s">
        <v>229</v>
      </c>
      <c r="AI56" s="6" t="s">
        <v>31</v>
      </c>
      <c r="AJ56" s="6" t="s">
        <v>229</v>
      </c>
      <c r="AK56" s="6" t="s">
        <v>229</v>
      </c>
      <c r="AL56" s="4"/>
      <c r="AM56" s="7"/>
      <c r="AN56" s="7"/>
      <c r="AO56" s="4"/>
      <c r="AP56" s="7"/>
      <c r="AQ56" s="7"/>
      <c r="AR56" s="4"/>
      <c r="AS56" s="7"/>
      <c r="AT56" s="7"/>
      <c r="AU56" s="6">
        <v>1</v>
      </c>
      <c r="AV56" s="6" t="s">
        <v>230</v>
      </c>
      <c r="AW56" s="6">
        <v>14</v>
      </c>
      <c r="AX56" s="6" t="s">
        <v>231</v>
      </c>
      <c r="AY56" s="6">
        <v>4</v>
      </c>
      <c r="AZ56" s="6" t="s">
        <v>231</v>
      </c>
      <c r="BA56" s="23" t="str">
        <f>'Fertilizer &amp; Pesticide demand'!H56</f>
        <v>Yes</v>
      </c>
      <c r="BB56" s="23">
        <f>'Fertilizer &amp; Pesticide demand'!I56</f>
        <v>1</v>
      </c>
      <c r="BC56" s="23" t="str">
        <f>'Fertilizer &amp; Pesticide demand'!J56</f>
        <v>Packets</v>
      </c>
      <c r="BD56" s="10" t="e">
        <f>'Fertilizer &amp; Pesticide demand'!#REF!</f>
        <v>#REF!</v>
      </c>
      <c r="BE56" s="10" t="e">
        <f>'Fertilizer &amp; Pesticide demand'!#REF!</f>
        <v>#REF!</v>
      </c>
      <c r="BF56" s="10" t="e">
        <f>'Fertilizer &amp; Pesticide demand'!#REF!</f>
        <v>#REF!</v>
      </c>
      <c r="BG56" s="10" t="str">
        <f>'Fertilizer &amp; Pesticide demand'!K56</f>
        <v>No</v>
      </c>
      <c r="BH56" s="10">
        <f>'Fertilizer &amp; Pesticide demand'!L56</f>
        <v>0</v>
      </c>
      <c r="BI56" s="10">
        <f>'Fertilizer &amp; Pesticide demand'!M56</f>
        <v>0</v>
      </c>
      <c r="BJ56" s="10" t="str">
        <f>'Fertilizer &amp; Pesticide demand'!N56</f>
        <v>Yes</v>
      </c>
      <c r="BK56" s="10">
        <f>'Fertilizer &amp; Pesticide demand'!O56</f>
        <v>1</v>
      </c>
      <c r="BL56" s="10" t="str">
        <f>'Fertilizer &amp; Pesticide demand'!P56</f>
        <v>Packet</v>
      </c>
    </row>
    <row r="57" spans="1:64" ht="20.100000000000001" customHeight="1" x14ac:dyDescent="0.25">
      <c r="A57" s="6">
        <f t="shared" si="1"/>
        <v>55</v>
      </c>
      <c r="B57" s="6" t="s">
        <v>10</v>
      </c>
      <c r="C57" s="28" t="s">
        <v>81</v>
      </c>
      <c r="D57" s="4"/>
      <c r="E57" s="6" t="s">
        <v>31</v>
      </c>
      <c r="F57" s="6" t="s">
        <v>11</v>
      </c>
      <c r="G57" s="6" t="s">
        <v>240</v>
      </c>
      <c r="H57" s="6" t="s">
        <v>228</v>
      </c>
      <c r="I57" s="6" t="s">
        <v>29</v>
      </c>
      <c r="J57" s="10" t="s">
        <v>173</v>
      </c>
      <c r="K57" s="6">
        <v>200</v>
      </c>
      <c r="L57" s="6" t="s">
        <v>29</v>
      </c>
      <c r="M57" s="6" t="s">
        <v>180</v>
      </c>
      <c r="N57" s="6">
        <v>1</v>
      </c>
      <c r="O57" s="6" t="s">
        <v>191</v>
      </c>
      <c r="P57" s="6" t="s">
        <v>31</v>
      </c>
      <c r="Q57" s="6" t="s">
        <v>229</v>
      </c>
      <c r="R57" s="6" t="s">
        <v>229</v>
      </c>
      <c r="S57" s="6" t="s">
        <v>229</v>
      </c>
      <c r="T57" s="6" t="s">
        <v>31</v>
      </c>
      <c r="U57" s="6" t="s">
        <v>229</v>
      </c>
      <c r="V57" s="6" t="s">
        <v>229</v>
      </c>
      <c r="W57" s="6" t="s">
        <v>31</v>
      </c>
      <c r="X57" s="6" t="s">
        <v>229</v>
      </c>
      <c r="Y57" s="6" t="s">
        <v>229</v>
      </c>
      <c r="Z57" s="6" t="s">
        <v>31</v>
      </c>
      <c r="AA57" s="6" t="s">
        <v>229</v>
      </c>
      <c r="AB57" s="6" t="s">
        <v>229</v>
      </c>
      <c r="AC57" s="6" t="s">
        <v>31</v>
      </c>
      <c r="AD57" s="6" t="s">
        <v>229</v>
      </c>
      <c r="AE57" s="6" t="s">
        <v>229</v>
      </c>
      <c r="AF57" s="6" t="s">
        <v>31</v>
      </c>
      <c r="AG57" s="6" t="s">
        <v>229</v>
      </c>
      <c r="AH57" s="6" t="s">
        <v>229</v>
      </c>
      <c r="AI57" s="6" t="s">
        <v>31</v>
      </c>
      <c r="AJ57" s="6" t="s">
        <v>229</v>
      </c>
      <c r="AK57" s="6" t="s">
        <v>229</v>
      </c>
      <c r="AL57" s="4"/>
      <c r="AM57" s="7"/>
      <c r="AN57" s="7"/>
      <c r="AO57" s="4"/>
      <c r="AP57" s="7"/>
      <c r="AQ57" s="7"/>
      <c r="AR57" s="4"/>
      <c r="AS57" s="7"/>
      <c r="AT57" s="7"/>
      <c r="AU57" s="6">
        <v>1</v>
      </c>
      <c r="AV57" s="6" t="s">
        <v>230</v>
      </c>
      <c r="AW57" s="6">
        <v>14</v>
      </c>
      <c r="AX57" s="6" t="s">
        <v>231</v>
      </c>
      <c r="AY57" s="6">
        <v>4</v>
      </c>
      <c r="AZ57" s="6" t="s">
        <v>231</v>
      </c>
      <c r="BA57" s="23" t="str">
        <f>'Fertilizer &amp; Pesticide demand'!H57</f>
        <v>Yes</v>
      </c>
      <c r="BB57" s="23">
        <f>'Fertilizer &amp; Pesticide demand'!I57</f>
        <v>1</v>
      </c>
      <c r="BC57" s="23" t="str">
        <f>'Fertilizer &amp; Pesticide demand'!J57</f>
        <v>Packets</v>
      </c>
      <c r="BD57" s="10" t="e">
        <f>'Fertilizer &amp; Pesticide demand'!#REF!</f>
        <v>#REF!</v>
      </c>
      <c r="BE57" s="10" t="e">
        <f>'Fertilizer &amp; Pesticide demand'!#REF!</f>
        <v>#REF!</v>
      </c>
      <c r="BF57" s="10" t="e">
        <f>'Fertilizer &amp; Pesticide demand'!#REF!</f>
        <v>#REF!</v>
      </c>
      <c r="BG57" s="10" t="str">
        <f>'Fertilizer &amp; Pesticide demand'!K57</f>
        <v>No</v>
      </c>
      <c r="BH57" s="10">
        <f>'Fertilizer &amp; Pesticide demand'!L57</f>
        <v>0</v>
      </c>
      <c r="BI57" s="10">
        <f>'Fertilizer &amp; Pesticide demand'!M57</f>
        <v>0</v>
      </c>
      <c r="BJ57" s="10" t="str">
        <f>'Fertilizer &amp; Pesticide demand'!N57</f>
        <v>Yes</v>
      </c>
      <c r="BK57" s="10">
        <f>'Fertilizer &amp; Pesticide demand'!O57</f>
        <v>1</v>
      </c>
      <c r="BL57" s="10" t="str">
        <f>'Fertilizer &amp; Pesticide demand'!P57</f>
        <v>Packet</v>
      </c>
    </row>
    <row r="58" spans="1:64" ht="20.100000000000001" customHeight="1" x14ac:dyDescent="0.25">
      <c r="A58" s="6">
        <f t="shared" si="1"/>
        <v>56</v>
      </c>
      <c r="B58" s="6" t="s">
        <v>10</v>
      </c>
      <c r="C58" s="28" t="s">
        <v>104</v>
      </c>
      <c r="D58" s="4"/>
      <c r="E58" s="6" t="s">
        <v>31</v>
      </c>
      <c r="F58" s="6" t="s">
        <v>11</v>
      </c>
      <c r="G58" s="6" t="s">
        <v>240</v>
      </c>
      <c r="H58" s="6" t="s">
        <v>228</v>
      </c>
      <c r="I58" s="6" t="s">
        <v>29</v>
      </c>
      <c r="J58" s="10" t="s">
        <v>173</v>
      </c>
      <c r="K58" s="6">
        <v>200</v>
      </c>
      <c r="L58" s="6" t="s">
        <v>29</v>
      </c>
      <c r="M58" s="6" t="s">
        <v>180</v>
      </c>
      <c r="N58" s="6">
        <v>1</v>
      </c>
      <c r="O58" s="6" t="s">
        <v>191</v>
      </c>
      <c r="P58" s="6" t="s">
        <v>31</v>
      </c>
      <c r="Q58" s="6" t="s">
        <v>229</v>
      </c>
      <c r="R58" s="6" t="s">
        <v>229</v>
      </c>
      <c r="S58" s="6" t="s">
        <v>229</v>
      </c>
      <c r="T58" s="6" t="s">
        <v>31</v>
      </c>
      <c r="U58" s="6" t="s">
        <v>229</v>
      </c>
      <c r="V58" s="6" t="s">
        <v>229</v>
      </c>
      <c r="W58" s="6" t="s">
        <v>31</v>
      </c>
      <c r="X58" s="6" t="s">
        <v>229</v>
      </c>
      <c r="Y58" s="6" t="s">
        <v>229</v>
      </c>
      <c r="Z58" s="6" t="s">
        <v>31</v>
      </c>
      <c r="AA58" s="6" t="s">
        <v>229</v>
      </c>
      <c r="AB58" s="6" t="s">
        <v>229</v>
      </c>
      <c r="AC58" s="6" t="s">
        <v>31</v>
      </c>
      <c r="AD58" s="6" t="s">
        <v>229</v>
      </c>
      <c r="AE58" s="6" t="s">
        <v>229</v>
      </c>
      <c r="AF58" s="6" t="s">
        <v>31</v>
      </c>
      <c r="AG58" s="6" t="s">
        <v>229</v>
      </c>
      <c r="AH58" s="6" t="s">
        <v>229</v>
      </c>
      <c r="AI58" s="6" t="s">
        <v>31</v>
      </c>
      <c r="AJ58" s="6" t="s">
        <v>229</v>
      </c>
      <c r="AK58" s="6" t="s">
        <v>229</v>
      </c>
      <c r="AL58" s="4"/>
      <c r="AM58" s="7"/>
      <c r="AN58" s="7"/>
      <c r="AO58" s="4"/>
      <c r="AP58" s="7"/>
      <c r="AQ58" s="7"/>
      <c r="AR58" s="4"/>
      <c r="AS58" s="7"/>
      <c r="AT58" s="7"/>
      <c r="AU58" s="6">
        <v>1</v>
      </c>
      <c r="AV58" s="6" t="s">
        <v>230</v>
      </c>
      <c r="AW58" s="6">
        <v>14</v>
      </c>
      <c r="AX58" s="6" t="s">
        <v>231</v>
      </c>
      <c r="AY58" s="6">
        <v>4</v>
      </c>
      <c r="AZ58" s="6" t="s">
        <v>231</v>
      </c>
      <c r="BA58" s="23" t="str">
        <f>'Fertilizer &amp; Pesticide demand'!H58</f>
        <v>Yes</v>
      </c>
      <c r="BB58" s="23">
        <f>'Fertilizer &amp; Pesticide demand'!I58</f>
        <v>1</v>
      </c>
      <c r="BC58" s="23" t="str">
        <f>'Fertilizer &amp; Pesticide demand'!J58</f>
        <v>Packets</v>
      </c>
      <c r="BD58" s="10" t="e">
        <f>'Fertilizer &amp; Pesticide demand'!#REF!</f>
        <v>#REF!</v>
      </c>
      <c r="BE58" s="10" t="e">
        <f>'Fertilizer &amp; Pesticide demand'!#REF!</f>
        <v>#REF!</v>
      </c>
      <c r="BF58" s="10" t="e">
        <f>'Fertilizer &amp; Pesticide demand'!#REF!</f>
        <v>#REF!</v>
      </c>
      <c r="BG58" s="10" t="str">
        <f>'Fertilizer &amp; Pesticide demand'!K58</f>
        <v>No</v>
      </c>
      <c r="BH58" s="10">
        <f>'Fertilizer &amp; Pesticide demand'!L58</f>
        <v>0</v>
      </c>
      <c r="BI58" s="10">
        <f>'Fertilizer &amp; Pesticide demand'!M58</f>
        <v>0</v>
      </c>
      <c r="BJ58" s="10" t="str">
        <f>'Fertilizer &amp; Pesticide demand'!N58</f>
        <v>Yes</v>
      </c>
      <c r="BK58" s="10">
        <f>'Fertilizer &amp; Pesticide demand'!O58</f>
        <v>1</v>
      </c>
      <c r="BL58" s="10" t="str">
        <f>'Fertilizer &amp; Pesticide demand'!P58</f>
        <v>Packet</v>
      </c>
    </row>
    <row r="59" spans="1:64" ht="20.100000000000001" customHeight="1" x14ac:dyDescent="0.25">
      <c r="A59" s="6">
        <f t="shared" si="1"/>
        <v>57</v>
      </c>
      <c r="B59" s="6" t="s">
        <v>10</v>
      </c>
      <c r="C59" s="28" t="s">
        <v>105</v>
      </c>
      <c r="D59" s="4"/>
      <c r="E59" s="6" t="s">
        <v>31</v>
      </c>
      <c r="F59" s="6" t="s">
        <v>11</v>
      </c>
      <c r="G59" s="6" t="s">
        <v>240</v>
      </c>
      <c r="H59" s="6" t="s">
        <v>228</v>
      </c>
      <c r="I59" s="6" t="s">
        <v>29</v>
      </c>
      <c r="J59" s="10" t="s">
        <v>173</v>
      </c>
      <c r="K59" s="6">
        <v>200</v>
      </c>
      <c r="L59" s="6" t="s">
        <v>29</v>
      </c>
      <c r="M59" s="6" t="s">
        <v>180</v>
      </c>
      <c r="N59" s="6">
        <v>1</v>
      </c>
      <c r="O59" s="6" t="s">
        <v>191</v>
      </c>
      <c r="P59" s="6" t="s">
        <v>31</v>
      </c>
      <c r="Q59" s="6" t="s">
        <v>229</v>
      </c>
      <c r="R59" s="6" t="s">
        <v>229</v>
      </c>
      <c r="S59" s="6" t="s">
        <v>229</v>
      </c>
      <c r="T59" s="6" t="s">
        <v>31</v>
      </c>
      <c r="U59" s="6" t="s">
        <v>229</v>
      </c>
      <c r="V59" s="6" t="s">
        <v>229</v>
      </c>
      <c r="W59" s="6" t="s">
        <v>31</v>
      </c>
      <c r="X59" s="6" t="s">
        <v>229</v>
      </c>
      <c r="Y59" s="6" t="s">
        <v>229</v>
      </c>
      <c r="Z59" s="6" t="s">
        <v>31</v>
      </c>
      <c r="AA59" s="6" t="s">
        <v>229</v>
      </c>
      <c r="AB59" s="6" t="s">
        <v>229</v>
      </c>
      <c r="AC59" s="6" t="s">
        <v>31</v>
      </c>
      <c r="AD59" s="6" t="s">
        <v>229</v>
      </c>
      <c r="AE59" s="6" t="s">
        <v>229</v>
      </c>
      <c r="AF59" s="6" t="s">
        <v>31</v>
      </c>
      <c r="AG59" s="6" t="s">
        <v>229</v>
      </c>
      <c r="AH59" s="6" t="s">
        <v>229</v>
      </c>
      <c r="AI59" s="6" t="s">
        <v>31</v>
      </c>
      <c r="AJ59" s="6" t="s">
        <v>229</v>
      </c>
      <c r="AK59" s="6" t="s">
        <v>229</v>
      </c>
      <c r="AL59" s="4"/>
      <c r="AM59" s="7"/>
      <c r="AN59" s="7"/>
      <c r="AO59" s="4"/>
      <c r="AP59" s="7"/>
      <c r="AQ59" s="7"/>
      <c r="AR59" s="4"/>
      <c r="AS59" s="7"/>
      <c r="AT59" s="7"/>
      <c r="AU59" s="6">
        <v>1</v>
      </c>
      <c r="AV59" s="6" t="s">
        <v>230</v>
      </c>
      <c r="AW59" s="6">
        <v>14</v>
      </c>
      <c r="AX59" s="6" t="s">
        <v>231</v>
      </c>
      <c r="AY59" s="6">
        <v>4</v>
      </c>
      <c r="AZ59" s="6" t="s">
        <v>231</v>
      </c>
      <c r="BA59" s="23" t="str">
        <f>'Fertilizer &amp; Pesticide demand'!H59</f>
        <v>Yes</v>
      </c>
      <c r="BB59" s="23">
        <f>'Fertilizer &amp; Pesticide demand'!I59</f>
        <v>1</v>
      </c>
      <c r="BC59" s="23" t="str">
        <f>'Fertilizer &amp; Pesticide demand'!J59</f>
        <v>Packets</v>
      </c>
      <c r="BD59" s="10" t="e">
        <f>'Fertilizer &amp; Pesticide demand'!#REF!</f>
        <v>#REF!</v>
      </c>
      <c r="BE59" s="10" t="e">
        <f>'Fertilizer &amp; Pesticide demand'!#REF!</f>
        <v>#REF!</v>
      </c>
      <c r="BF59" s="10" t="e">
        <f>'Fertilizer &amp; Pesticide demand'!#REF!</f>
        <v>#REF!</v>
      </c>
      <c r="BG59" s="10" t="str">
        <f>'Fertilizer &amp; Pesticide demand'!K59</f>
        <v>No</v>
      </c>
      <c r="BH59" s="10">
        <f>'Fertilizer &amp; Pesticide demand'!L59</f>
        <v>0</v>
      </c>
      <c r="BI59" s="10">
        <f>'Fertilizer &amp; Pesticide demand'!M59</f>
        <v>0</v>
      </c>
      <c r="BJ59" s="10" t="str">
        <f>'Fertilizer &amp; Pesticide demand'!N59</f>
        <v>Yes</v>
      </c>
      <c r="BK59" s="10">
        <f>'Fertilizer &amp; Pesticide demand'!O59</f>
        <v>1</v>
      </c>
      <c r="BL59" s="10" t="str">
        <f>'Fertilizer &amp; Pesticide demand'!P59</f>
        <v>Packet</v>
      </c>
    </row>
    <row r="60" spans="1:64" ht="20.100000000000001" customHeight="1" x14ac:dyDescent="0.25">
      <c r="A60" s="6">
        <f t="shared" si="1"/>
        <v>58</v>
      </c>
      <c r="B60" s="6" t="s">
        <v>17</v>
      </c>
      <c r="C60" s="28" t="s">
        <v>34</v>
      </c>
      <c r="D60" s="4"/>
      <c r="E60" s="6" t="s">
        <v>31</v>
      </c>
      <c r="F60" s="28" t="s">
        <v>12</v>
      </c>
      <c r="G60" s="6" t="s">
        <v>241</v>
      </c>
      <c r="H60" s="6" t="s">
        <v>228</v>
      </c>
      <c r="I60" s="6" t="s">
        <v>29</v>
      </c>
      <c r="J60" s="10" t="s">
        <v>173</v>
      </c>
      <c r="K60" s="6">
        <v>200</v>
      </c>
      <c r="L60" s="6" t="s">
        <v>29</v>
      </c>
      <c r="M60" s="6" t="s">
        <v>180</v>
      </c>
      <c r="N60" s="6">
        <v>1</v>
      </c>
      <c r="O60" s="6" t="s">
        <v>191</v>
      </c>
      <c r="P60" s="6" t="s">
        <v>31</v>
      </c>
      <c r="Q60" s="6" t="s">
        <v>229</v>
      </c>
      <c r="R60" s="6" t="s">
        <v>229</v>
      </c>
      <c r="S60" s="6" t="s">
        <v>229</v>
      </c>
      <c r="T60" s="6" t="s">
        <v>31</v>
      </c>
      <c r="U60" s="6" t="s">
        <v>229</v>
      </c>
      <c r="V60" s="6" t="s">
        <v>229</v>
      </c>
      <c r="W60" s="6" t="s">
        <v>31</v>
      </c>
      <c r="X60" s="6" t="s">
        <v>229</v>
      </c>
      <c r="Y60" s="6" t="s">
        <v>229</v>
      </c>
      <c r="Z60" s="6" t="s">
        <v>31</v>
      </c>
      <c r="AA60" s="6" t="s">
        <v>229</v>
      </c>
      <c r="AB60" s="6" t="s">
        <v>229</v>
      </c>
      <c r="AC60" s="6" t="s">
        <v>31</v>
      </c>
      <c r="AD60" s="6" t="s">
        <v>229</v>
      </c>
      <c r="AE60" s="6" t="s">
        <v>229</v>
      </c>
      <c r="AF60" s="6" t="s">
        <v>31</v>
      </c>
      <c r="AG60" s="6" t="s">
        <v>229</v>
      </c>
      <c r="AH60" s="6" t="s">
        <v>229</v>
      </c>
      <c r="AI60" s="6" t="s">
        <v>31</v>
      </c>
      <c r="AJ60" s="6" t="s">
        <v>229</v>
      </c>
      <c r="AK60" s="6" t="s">
        <v>229</v>
      </c>
      <c r="AL60" s="4"/>
      <c r="AM60" s="7"/>
      <c r="AN60" s="7"/>
      <c r="AO60" s="4"/>
      <c r="AP60" s="7"/>
      <c r="AQ60" s="7"/>
      <c r="AR60" s="4"/>
      <c r="AS60" s="7"/>
      <c r="AT60" s="7"/>
      <c r="AU60" s="6">
        <v>1</v>
      </c>
      <c r="AV60" s="6" t="s">
        <v>230</v>
      </c>
      <c r="AW60" s="6">
        <v>16</v>
      </c>
      <c r="AX60" s="6" t="s">
        <v>231</v>
      </c>
      <c r="AY60" s="6">
        <v>4</v>
      </c>
      <c r="AZ60" s="6" t="s">
        <v>231</v>
      </c>
      <c r="BA60" s="23" t="str">
        <f>'Fertilizer &amp; Pesticide demand'!H60</f>
        <v>Yes</v>
      </c>
      <c r="BB60" s="23">
        <f>'Fertilizer &amp; Pesticide demand'!I60</f>
        <v>1</v>
      </c>
      <c r="BC60" s="23" t="str">
        <f>'Fertilizer &amp; Pesticide demand'!J60</f>
        <v>Packets</v>
      </c>
      <c r="BD60" s="10" t="e">
        <f>'Fertilizer &amp; Pesticide demand'!#REF!</f>
        <v>#REF!</v>
      </c>
      <c r="BE60" s="10" t="e">
        <f>'Fertilizer &amp; Pesticide demand'!#REF!</f>
        <v>#REF!</v>
      </c>
      <c r="BF60" s="10" t="e">
        <f>'Fertilizer &amp; Pesticide demand'!#REF!</f>
        <v>#REF!</v>
      </c>
      <c r="BG60" s="10" t="str">
        <f>'Fertilizer &amp; Pesticide demand'!K60</f>
        <v>No</v>
      </c>
      <c r="BH60" s="10">
        <f>'Fertilizer &amp; Pesticide demand'!L60</f>
        <v>0</v>
      </c>
      <c r="BI60" s="10">
        <f>'Fertilizer &amp; Pesticide demand'!M60</f>
        <v>0</v>
      </c>
      <c r="BJ60" s="10" t="str">
        <f>'Fertilizer &amp; Pesticide demand'!N60</f>
        <v>Yes</v>
      </c>
      <c r="BK60" s="10">
        <f>'Fertilizer &amp; Pesticide demand'!O60</f>
        <v>1</v>
      </c>
      <c r="BL60" s="10" t="str">
        <f>'Fertilizer &amp; Pesticide demand'!P60</f>
        <v>Packet</v>
      </c>
    </row>
    <row r="61" spans="1:64" ht="20.100000000000001" customHeight="1" x14ac:dyDescent="0.25">
      <c r="A61" s="6">
        <f t="shared" si="1"/>
        <v>59</v>
      </c>
      <c r="B61" s="6" t="s">
        <v>17</v>
      </c>
      <c r="C61" s="28" t="s">
        <v>46</v>
      </c>
      <c r="D61" s="4"/>
      <c r="E61" s="6" t="s">
        <v>31</v>
      </c>
      <c r="F61" s="28" t="s">
        <v>12</v>
      </c>
      <c r="G61" s="6" t="s">
        <v>241</v>
      </c>
      <c r="H61" s="6" t="s">
        <v>228</v>
      </c>
      <c r="I61" s="6" t="s">
        <v>29</v>
      </c>
      <c r="J61" s="10" t="s">
        <v>173</v>
      </c>
      <c r="K61" s="6">
        <v>200</v>
      </c>
      <c r="L61" s="6" t="s">
        <v>29</v>
      </c>
      <c r="M61" s="6" t="s">
        <v>180</v>
      </c>
      <c r="N61" s="6">
        <v>1</v>
      </c>
      <c r="O61" s="6" t="s">
        <v>191</v>
      </c>
      <c r="P61" s="6" t="s">
        <v>31</v>
      </c>
      <c r="Q61" s="6" t="s">
        <v>229</v>
      </c>
      <c r="R61" s="6" t="s">
        <v>229</v>
      </c>
      <c r="S61" s="6" t="s">
        <v>229</v>
      </c>
      <c r="T61" s="6" t="s">
        <v>31</v>
      </c>
      <c r="U61" s="6" t="s">
        <v>229</v>
      </c>
      <c r="V61" s="6" t="s">
        <v>229</v>
      </c>
      <c r="W61" s="6" t="s">
        <v>31</v>
      </c>
      <c r="X61" s="6" t="s">
        <v>229</v>
      </c>
      <c r="Y61" s="6" t="s">
        <v>229</v>
      </c>
      <c r="Z61" s="6" t="s">
        <v>31</v>
      </c>
      <c r="AA61" s="6" t="s">
        <v>229</v>
      </c>
      <c r="AB61" s="6" t="s">
        <v>229</v>
      </c>
      <c r="AC61" s="6" t="s">
        <v>31</v>
      </c>
      <c r="AD61" s="6" t="s">
        <v>229</v>
      </c>
      <c r="AE61" s="6" t="s">
        <v>229</v>
      </c>
      <c r="AF61" s="6" t="s">
        <v>31</v>
      </c>
      <c r="AG61" s="6" t="s">
        <v>229</v>
      </c>
      <c r="AH61" s="6" t="s">
        <v>229</v>
      </c>
      <c r="AI61" s="6" t="s">
        <v>31</v>
      </c>
      <c r="AJ61" s="6" t="s">
        <v>229</v>
      </c>
      <c r="AK61" s="6" t="s">
        <v>229</v>
      </c>
      <c r="AL61" s="4"/>
      <c r="AM61" s="7"/>
      <c r="AN61" s="7"/>
      <c r="AO61" s="4"/>
      <c r="AP61" s="7"/>
      <c r="AQ61" s="7"/>
      <c r="AR61" s="4"/>
      <c r="AS61" s="7"/>
      <c r="AT61" s="7"/>
      <c r="AU61" s="6">
        <v>1</v>
      </c>
      <c r="AV61" s="6" t="s">
        <v>230</v>
      </c>
      <c r="AW61" s="6">
        <v>16</v>
      </c>
      <c r="AX61" s="6" t="s">
        <v>231</v>
      </c>
      <c r="AY61" s="6">
        <v>4</v>
      </c>
      <c r="AZ61" s="6" t="s">
        <v>231</v>
      </c>
      <c r="BA61" s="23" t="str">
        <f>'Fertilizer &amp; Pesticide demand'!H61</f>
        <v>Yes</v>
      </c>
      <c r="BB61" s="23">
        <f>'Fertilizer &amp; Pesticide demand'!I61</f>
        <v>1</v>
      </c>
      <c r="BC61" s="23" t="str">
        <f>'Fertilizer &amp; Pesticide demand'!J61</f>
        <v>Packets</v>
      </c>
      <c r="BD61" s="10" t="e">
        <f>'Fertilizer &amp; Pesticide demand'!#REF!</f>
        <v>#REF!</v>
      </c>
      <c r="BE61" s="10" t="e">
        <f>'Fertilizer &amp; Pesticide demand'!#REF!</f>
        <v>#REF!</v>
      </c>
      <c r="BF61" s="10" t="e">
        <f>'Fertilizer &amp; Pesticide demand'!#REF!</f>
        <v>#REF!</v>
      </c>
      <c r="BG61" s="10" t="str">
        <f>'Fertilizer &amp; Pesticide demand'!K61</f>
        <v>No</v>
      </c>
      <c r="BH61" s="10">
        <f>'Fertilizer &amp; Pesticide demand'!L61</f>
        <v>0</v>
      </c>
      <c r="BI61" s="10">
        <f>'Fertilizer &amp; Pesticide demand'!M61</f>
        <v>0</v>
      </c>
      <c r="BJ61" s="10" t="str">
        <f>'Fertilizer &amp; Pesticide demand'!N61</f>
        <v>Yes</v>
      </c>
      <c r="BK61" s="10">
        <f>'Fertilizer &amp; Pesticide demand'!O61</f>
        <v>1</v>
      </c>
      <c r="BL61" s="10" t="str">
        <f>'Fertilizer &amp; Pesticide demand'!P61</f>
        <v>Packet</v>
      </c>
    </row>
    <row r="62" spans="1:64" ht="20.100000000000001" customHeight="1" x14ac:dyDescent="0.25">
      <c r="A62" s="6">
        <f t="shared" si="1"/>
        <v>60</v>
      </c>
      <c r="B62" s="6" t="s">
        <v>17</v>
      </c>
      <c r="C62" s="28" t="s">
        <v>54</v>
      </c>
      <c r="D62" s="4"/>
      <c r="E62" s="6" t="s">
        <v>31</v>
      </c>
      <c r="F62" s="28" t="s">
        <v>12</v>
      </c>
      <c r="G62" s="6" t="s">
        <v>241</v>
      </c>
      <c r="H62" s="6" t="s">
        <v>228</v>
      </c>
      <c r="I62" s="6" t="s">
        <v>29</v>
      </c>
      <c r="J62" s="10" t="s">
        <v>173</v>
      </c>
      <c r="K62" s="6">
        <v>200</v>
      </c>
      <c r="L62" s="6" t="s">
        <v>29</v>
      </c>
      <c r="M62" s="6" t="s">
        <v>180</v>
      </c>
      <c r="N62" s="6">
        <v>1</v>
      </c>
      <c r="O62" s="6" t="s">
        <v>191</v>
      </c>
      <c r="P62" s="6" t="s">
        <v>31</v>
      </c>
      <c r="Q62" s="6" t="s">
        <v>229</v>
      </c>
      <c r="R62" s="6" t="s">
        <v>229</v>
      </c>
      <c r="S62" s="6" t="s">
        <v>229</v>
      </c>
      <c r="T62" s="6" t="s">
        <v>31</v>
      </c>
      <c r="U62" s="6" t="s">
        <v>229</v>
      </c>
      <c r="V62" s="6" t="s">
        <v>229</v>
      </c>
      <c r="W62" s="6" t="s">
        <v>31</v>
      </c>
      <c r="X62" s="6" t="s">
        <v>229</v>
      </c>
      <c r="Y62" s="6" t="s">
        <v>229</v>
      </c>
      <c r="Z62" s="6" t="s">
        <v>31</v>
      </c>
      <c r="AA62" s="6" t="s">
        <v>229</v>
      </c>
      <c r="AB62" s="6" t="s">
        <v>229</v>
      </c>
      <c r="AC62" s="6" t="s">
        <v>31</v>
      </c>
      <c r="AD62" s="6" t="s">
        <v>229</v>
      </c>
      <c r="AE62" s="6" t="s">
        <v>229</v>
      </c>
      <c r="AF62" s="6" t="s">
        <v>31</v>
      </c>
      <c r="AG62" s="6" t="s">
        <v>229</v>
      </c>
      <c r="AH62" s="6" t="s">
        <v>229</v>
      </c>
      <c r="AI62" s="6" t="s">
        <v>31</v>
      </c>
      <c r="AJ62" s="6" t="s">
        <v>229</v>
      </c>
      <c r="AK62" s="6" t="s">
        <v>229</v>
      </c>
      <c r="AL62" s="4"/>
      <c r="AM62" s="7"/>
      <c r="AN62" s="7"/>
      <c r="AO62" s="4"/>
      <c r="AP62" s="7"/>
      <c r="AQ62" s="7"/>
      <c r="AR62" s="4"/>
      <c r="AS62" s="7"/>
      <c r="AT62" s="7"/>
      <c r="AU62" s="6">
        <v>1</v>
      </c>
      <c r="AV62" s="6" t="s">
        <v>230</v>
      </c>
      <c r="AW62" s="6">
        <v>16</v>
      </c>
      <c r="AX62" s="6" t="s">
        <v>231</v>
      </c>
      <c r="AY62" s="6">
        <v>4</v>
      </c>
      <c r="AZ62" s="6" t="s">
        <v>231</v>
      </c>
      <c r="BA62" s="23" t="str">
        <f>'Fertilizer &amp; Pesticide demand'!H62</f>
        <v>Yes</v>
      </c>
      <c r="BB62" s="23">
        <f>'Fertilizer &amp; Pesticide demand'!I62</f>
        <v>1</v>
      </c>
      <c r="BC62" s="23" t="str">
        <f>'Fertilizer &amp; Pesticide demand'!J62</f>
        <v>Packets</v>
      </c>
      <c r="BD62" s="10" t="e">
        <f>'Fertilizer &amp; Pesticide demand'!#REF!</f>
        <v>#REF!</v>
      </c>
      <c r="BE62" s="10" t="e">
        <f>'Fertilizer &amp; Pesticide demand'!#REF!</f>
        <v>#REF!</v>
      </c>
      <c r="BF62" s="10" t="e">
        <f>'Fertilizer &amp; Pesticide demand'!#REF!</f>
        <v>#REF!</v>
      </c>
      <c r="BG62" s="10" t="str">
        <f>'Fertilizer &amp; Pesticide demand'!K62</f>
        <v>No</v>
      </c>
      <c r="BH62" s="10">
        <f>'Fertilizer &amp; Pesticide demand'!L62</f>
        <v>0</v>
      </c>
      <c r="BI62" s="10">
        <f>'Fertilizer &amp; Pesticide demand'!M62</f>
        <v>0</v>
      </c>
      <c r="BJ62" s="10" t="str">
        <f>'Fertilizer &amp; Pesticide demand'!N62</f>
        <v>Yes</v>
      </c>
      <c r="BK62" s="10">
        <f>'Fertilizer &amp; Pesticide demand'!O62</f>
        <v>1</v>
      </c>
      <c r="BL62" s="10" t="str">
        <f>'Fertilizer &amp; Pesticide demand'!P62</f>
        <v>Packet</v>
      </c>
    </row>
    <row r="63" spans="1:64" ht="20.100000000000001" customHeight="1" x14ac:dyDescent="0.25">
      <c r="A63" s="6">
        <f t="shared" si="1"/>
        <v>61</v>
      </c>
      <c r="B63" s="6" t="s">
        <v>17</v>
      </c>
      <c r="C63" s="28" t="s">
        <v>63</v>
      </c>
      <c r="D63" s="4"/>
      <c r="E63" s="6" t="s">
        <v>31</v>
      </c>
      <c r="F63" s="28" t="s">
        <v>12</v>
      </c>
      <c r="G63" s="6" t="s">
        <v>241</v>
      </c>
      <c r="H63" s="6" t="s">
        <v>228</v>
      </c>
      <c r="I63" s="6" t="s">
        <v>29</v>
      </c>
      <c r="J63" s="10" t="s">
        <v>173</v>
      </c>
      <c r="K63" s="6">
        <v>200</v>
      </c>
      <c r="L63" s="6" t="s">
        <v>29</v>
      </c>
      <c r="M63" s="6" t="s">
        <v>180</v>
      </c>
      <c r="N63" s="6">
        <v>1</v>
      </c>
      <c r="O63" s="6" t="s">
        <v>191</v>
      </c>
      <c r="P63" s="6" t="s">
        <v>31</v>
      </c>
      <c r="Q63" s="6" t="s">
        <v>229</v>
      </c>
      <c r="R63" s="6" t="s">
        <v>229</v>
      </c>
      <c r="S63" s="6" t="s">
        <v>229</v>
      </c>
      <c r="T63" s="6" t="s">
        <v>31</v>
      </c>
      <c r="U63" s="6" t="s">
        <v>229</v>
      </c>
      <c r="V63" s="6" t="s">
        <v>229</v>
      </c>
      <c r="W63" s="6" t="s">
        <v>31</v>
      </c>
      <c r="X63" s="6" t="s">
        <v>229</v>
      </c>
      <c r="Y63" s="6" t="s">
        <v>229</v>
      </c>
      <c r="Z63" s="6" t="s">
        <v>31</v>
      </c>
      <c r="AA63" s="6" t="s">
        <v>229</v>
      </c>
      <c r="AB63" s="6" t="s">
        <v>229</v>
      </c>
      <c r="AC63" s="6" t="s">
        <v>31</v>
      </c>
      <c r="AD63" s="6" t="s">
        <v>229</v>
      </c>
      <c r="AE63" s="6" t="s">
        <v>229</v>
      </c>
      <c r="AF63" s="6" t="s">
        <v>31</v>
      </c>
      <c r="AG63" s="6" t="s">
        <v>229</v>
      </c>
      <c r="AH63" s="6" t="s">
        <v>229</v>
      </c>
      <c r="AI63" s="6" t="s">
        <v>31</v>
      </c>
      <c r="AJ63" s="6" t="s">
        <v>229</v>
      </c>
      <c r="AK63" s="6" t="s">
        <v>229</v>
      </c>
      <c r="AL63" s="4"/>
      <c r="AM63" s="7"/>
      <c r="AN63" s="7"/>
      <c r="AO63" s="4"/>
      <c r="AP63" s="7"/>
      <c r="AQ63" s="7"/>
      <c r="AR63" s="4"/>
      <c r="AS63" s="7"/>
      <c r="AT63" s="7"/>
      <c r="AU63" s="6">
        <v>1</v>
      </c>
      <c r="AV63" s="6" t="s">
        <v>230</v>
      </c>
      <c r="AW63" s="6">
        <v>16</v>
      </c>
      <c r="AX63" s="6" t="s">
        <v>231</v>
      </c>
      <c r="AY63" s="6">
        <v>4</v>
      </c>
      <c r="AZ63" s="6" t="s">
        <v>231</v>
      </c>
      <c r="BA63" s="23" t="str">
        <f>'Fertilizer &amp; Pesticide demand'!H63</f>
        <v>Yes</v>
      </c>
      <c r="BB63" s="23">
        <f>'Fertilizer &amp; Pesticide demand'!I63</f>
        <v>1</v>
      </c>
      <c r="BC63" s="23" t="str">
        <f>'Fertilizer &amp; Pesticide demand'!J63</f>
        <v>Packets</v>
      </c>
      <c r="BD63" s="10" t="e">
        <f>'Fertilizer &amp; Pesticide demand'!#REF!</f>
        <v>#REF!</v>
      </c>
      <c r="BE63" s="10" t="e">
        <f>'Fertilizer &amp; Pesticide demand'!#REF!</f>
        <v>#REF!</v>
      </c>
      <c r="BF63" s="10" t="e">
        <f>'Fertilizer &amp; Pesticide demand'!#REF!</f>
        <v>#REF!</v>
      </c>
      <c r="BG63" s="10" t="str">
        <f>'Fertilizer &amp; Pesticide demand'!K63</f>
        <v>No</v>
      </c>
      <c r="BH63" s="10">
        <f>'Fertilizer &amp; Pesticide demand'!L63</f>
        <v>0</v>
      </c>
      <c r="BI63" s="10">
        <f>'Fertilizer &amp; Pesticide demand'!M63</f>
        <v>0</v>
      </c>
      <c r="BJ63" s="10" t="str">
        <f>'Fertilizer &amp; Pesticide demand'!N63</f>
        <v>Yes</v>
      </c>
      <c r="BK63" s="10">
        <f>'Fertilizer &amp; Pesticide demand'!O63</f>
        <v>1</v>
      </c>
      <c r="BL63" s="10" t="str">
        <f>'Fertilizer &amp; Pesticide demand'!P63</f>
        <v>Packet</v>
      </c>
    </row>
    <row r="64" spans="1:64" ht="20.100000000000001" customHeight="1" x14ac:dyDescent="0.25">
      <c r="A64" s="6">
        <f t="shared" si="1"/>
        <v>62</v>
      </c>
      <c r="B64" s="6" t="s">
        <v>17</v>
      </c>
      <c r="C64" s="28" t="s">
        <v>71</v>
      </c>
      <c r="D64" s="4"/>
      <c r="E64" s="6" t="s">
        <v>31</v>
      </c>
      <c r="F64" s="28" t="s">
        <v>12</v>
      </c>
      <c r="G64" s="6" t="s">
        <v>241</v>
      </c>
      <c r="H64" s="6" t="s">
        <v>228</v>
      </c>
      <c r="I64" s="6" t="s">
        <v>29</v>
      </c>
      <c r="J64" s="10" t="s">
        <v>173</v>
      </c>
      <c r="K64" s="6">
        <v>200</v>
      </c>
      <c r="L64" s="6" t="s">
        <v>29</v>
      </c>
      <c r="M64" s="6" t="s">
        <v>180</v>
      </c>
      <c r="N64" s="6">
        <v>1</v>
      </c>
      <c r="O64" s="6" t="s">
        <v>191</v>
      </c>
      <c r="P64" s="6" t="s">
        <v>31</v>
      </c>
      <c r="Q64" s="6" t="s">
        <v>229</v>
      </c>
      <c r="R64" s="6" t="s">
        <v>229</v>
      </c>
      <c r="S64" s="6" t="s">
        <v>229</v>
      </c>
      <c r="T64" s="6" t="s">
        <v>31</v>
      </c>
      <c r="U64" s="6" t="s">
        <v>229</v>
      </c>
      <c r="V64" s="6" t="s">
        <v>229</v>
      </c>
      <c r="W64" s="6" t="s">
        <v>31</v>
      </c>
      <c r="X64" s="6" t="s">
        <v>229</v>
      </c>
      <c r="Y64" s="6" t="s">
        <v>229</v>
      </c>
      <c r="Z64" s="6" t="s">
        <v>31</v>
      </c>
      <c r="AA64" s="6" t="s">
        <v>229</v>
      </c>
      <c r="AB64" s="6" t="s">
        <v>229</v>
      </c>
      <c r="AC64" s="6" t="s">
        <v>31</v>
      </c>
      <c r="AD64" s="6" t="s">
        <v>229</v>
      </c>
      <c r="AE64" s="6" t="s">
        <v>229</v>
      </c>
      <c r="AF64" s="6" t="s">
        <v>31</v>
      </c>
      <c r="AG64" s="6" t="s">
        <v>229</v>
      </c>
      <c r="AH64" s="6" t="s">
        <v>229</v>
      </c>
      <c r="AI64" s="6" t="s">
        <v>31</v>
      </c>
      <c r="AJ64" s="6" t="s">
        <v>229</v>
      </c>
      <c r="AK64" s="6" t="s">
        <v>229</v>
      </c>
      <c r="AL64" s="4"/>
      <c r="AM64" s="7"/>
      <c r="AN64" s="7"/>
      <c r="AO64" s="4"/>
      <c r="AP64" s="7"/>
      <c r="AQ64" s="7"/>
      <c r="AR64" s="4"/>
      <c r="AS64" s="7"/>
      <c r="AT64" s="7"/>
      <c r="AU64" s="6">
        <v>1</v>
      </c>
      <c r="AV64" s="6" t="s">
        <v>230</v>
      </c>
      <c r="AW64" s="6">
        <v>16</v>
      </c>
      <c r="AX64" s="6" t="s">
        <v>231</v>
      </c>
      <c r="AY64" s="6">
        <v>4</v>
      </c>
      <c r="AZ64" s="6" t="s">
        <v>231</v>
      </c>
      <c r="BA64" s="23" t="str">
        <f>'Fertilizer &amp; Pesticide demand'!H64</f>
        <v>Yes</v>
      </c>
      <c r="BB64" s="23">
        <f>'Fertilizer &amp; Pesticide demand'!I64</f>
        <v>1</v>
      </c>
      <c r="BC64" s="23" t="str">
        <f>'Fertilizer &amp; Pesticide demand'!J64</f>
        <v>Packets</v>
      </c>
      <c r="BD64" s="10" t="e">
        <f>'Fertilizer &amp; Pesticide demand'!#REF!</f>
        <v>#REF!</v>
      </c>
      <c r="BE64" s="10" t="e">
        <f>'Fertilizer &amp; Pesticide demand'!#REF!</f>
        <v>#REF!</v>
      </c>
      <c r="BF64" s="10" t="e">
        <f>'Fertilizer &amp; Pesticide demand'!#REF!</f>
        <v>#REF!</v>
      </c>
      <c r="BG64" s="10" t="str">
        <f>'Fertilizer &amp; Pesticide demand'!K64</f>
        <v>No</v>
      </c>
      <c r="BH64" s="10">
        <f>'Fertilizer &amp; Pesticide demand'!L64</f>
        <v>0</v>
      </c>
      <c r="BI64" s="10">
        <f>'Fertilizer &amp; Pesticide demand'!M64</f>
        <v>0</v>
      </c>
      <c r="BJ64" s="10" t="str">
        <f>'Fertilizer &amp; Pesticide demand'!N64</f>
        <v>Yes</v>
      </c>
      <c r="BK64" s="10">
        <f>'Fertilizer &amp; Pesticide demand'!O64</f>
        <v>1</v>
      </c>
      <c r="BL64" s="10" t="str">
        <f>'Fertilizer &amp; Pesticide demand'!P64</f>
        <v>Packet</v>
      </c>
    </row>
    <row r="65" spans="1:64" ht="20.100000000000001" customHeight="1" x14ac:dyDescent="0.25">
      <c r="A65" s="6">
        <f t="shared" si="1"/>
        <v>63</v>
      </c>
      <c r="B65" s="6" t="s">
        <v>17</v>
      </c>
      <c r="C65" s="28" t="s">
        <v>76</v>
      </c>
      <c r="D65" s="4"/>
      <c r="E65" s="6" t="s">
        <v>31</v>
      </c>
      <c r="F65" s="28" t="s">
        <v>12</v>
      </c>
      <c r="G65" s="6" t="s">
        <v>241</v>
      </c>
      <c r="H65" s="6" t="s">
        <v>228</v>
      </c>
      <c r="I65" s="6" t="s">
        <v>29</v>
      </c>
      <c r="J65" s="10" t="s">
        <v>173</v>
      </c>
      <c r="K65" s="6">
        <v>200</v>
      </c>
      <c r="L65" s="6" t="s">
        <v>29</v>
      </c>
      <c r="M65" s="6" t="s">
        <v>180</v>
      </c>
      <c r="N65" s="6">
        <v>1</v>
      </c>
      <c r="O65" s="6" t="s">
        <v>191</v>
      </c>
      <c r="P65" s="6" t="s">
        <v>31</v>
      </c>
      <c r="Q65" s="6" t="s">
        <v>229</v>
      </c>
      <c r="R65" s="6" t="s">
        <v>229</v>
      </c>
      <c r="S65" s="6" t="s">
        <v>229</v>
      </c>
      <c r="T65" s="6" t="s">
        <v>31</v>
      </c>
      <c r="U65" s="6" t="s">
        <v>229</v>
      </c>
      <c r="V65" s="6" t="s">
        <v>229</v>
      </c>
      <c r="W65" s="6" t="s">
        <v>31</v>
      </c>
      <c r="X65" s="6" t="s">
        <v>229</v>
      </c>
      <c r="Y65" s="6" t="s">
        <v>229</v>
      </c>
      <c r="Z65" s="6" t="s">
        <v>31</v>
      </c>
      <c r="AA65" s="6" t="s">
        <v>229</v>
      </c>
      <c r="AB65" s="6" t="s">
        <v>229</v>
      </c>
      <c r="AC65" s="6" t="s">
        <v>31</v>
      </c>
      <c r="AD65" s="6" t="s">
        <v>229</v>
      </c>
      <c r="AE65" s="6" t="s">
        <v>229</v>
      </c>
      <c r="AF65" s="6" t="s">
        <v>31</v>
      </c>
      <c r="AG65" s="6" t="s">
        <v>229</v>
      </c>
      <c r="AH65" s="6" t="s">
        <v>229</v>
      </c>
      <c r="AI65" s="6" t="s">
        <v>31</v>
      </c>
      <c r="AJ65" s="6" t="s">
        <v>229</v>
      </c>
      <c r="AK65" s="6" t="s">
        <v>229</v>
      </c>
      <c r="AL65" s="4"/>
      <c r="AM65" s="7"/>
      <c r="AN65" s="7"/>
      <c r="AO65" s="4"/>
      <c r="AP65" s="7"/>
      <c r="AQ65" s="7"/>
      <c r="AR65" s="4"/>
      <c r="AS65" s="7"/>
      <c r="AT65" s="7"/>
      <c r="AU65" s="6">
        <v>1</v>
      </c>
      <c r="AV65" s="6" t="s">
        <v>230</v>
      </c>
      <c r="AW65" s="6">
        <v>16</v>
      </c>
      <c r="AX65" s="6" t="s">
        <v>231</v>
      </c>
      <c r="AY65" s="6">
        <v>4</v>
      </c>
      <c r="AZ65" s="6" t="s">
        <v>231</v>
      </c>
      <c r="BA65" s="23" t="str">
        <f>'Fertilizer &amp; Pesticide demand'!H65</f>
        <v>Yes</v>
      </c>
      <c r="BB65" s="23">
        <f>'Fertilizer &amp; Pesticide demand'!I65</f>
        <v>1</v>
      </c>
      <c r="BC65" s="23" t="str">
        <f>'Fertilizer &amp; Pesticide demand'!J65</f>
        <v>Packets</v>
      </c>
      <c r="BD65" s="10" t="e">
        <f>'Fertilizer &amp; Pesticide demand'!#REF!</f>
        <v>#REF!</v>
      </c>
      <c r="BE65" s="10" t="e">
        <f>'Fertilizer &amp; Pesticide demand'!#REF!</f>
        <v>#REF!</v>
      </c>
      <c r="BF65" s="10" t="e">
        <f>'Fertilizer &amp; Pesticide demand'!#REF!</f>
        <v>#REF!</v>
      </c>
      <c r="BG65" s="10" t="str">
        <f>'Fertilizer &amp; Pesticide demand'!K65</f>
        <v>No</v>
      </c>
      <c r="BH65" s="10">
        <f>'Fertilizer &amp; Pesticide demand'!L65</f>
        <v>0</v>
      </c>
      <c r="BI65" s="10">
        <f>'Fertilizer &amp; Pesticide demand'!M65</f>
        <v>0</v>
      </c>
      <c r="BJ65" s="10" t="str">
        <f>'Fertilizer &amp; Pesticide demand'!N65</f>
        <v>Yes</v>
      </c>
      <c r="BK65" s="10">
        <f>'Fertilizer &amp; Pesticide demand'!O65</f>
        <v>1</v>
      </c>
      <c r="BL65" s="10" t="str">
        <f>'Fertilizer &amp; Pesticide demand'!P65</f>
        <v>Packet</v>
      </c>
    </row>
    <row r="66" spans="1:64" ht="20.100000000000001" customHeight="1" x14ac:dyDescent="0.25">
      <c r="A66" s="6">
        <f t="shared" si="1"/>
        <v>64</v>
      </c>
      <c r="B66" s="6" t="s">
        <v>17</v>
      </c>
      <c r="C66" s="28" t="s">
        <v>89</v>
      </c>
      <c r="D66" s="4"/>
      <c r="E66" s="6" t="s">
        <v>31</v>
      </c>
      <c r="F66" s="28" t="s">
        <v>12</v>
      </c>
      <c r="G66" s="6" t="s">
        <v>241</v>
      </c>
      <c r="H66" s="6" t="s">
        <v>228</v>
      </c>
      <c r="I66" s="6" t="s">
        <v>29</v>
      </c>
      <c r="J66" s="10" t="s">
        <v>173</v>
      </c>
      <c r="K66" s="6">
        <v>200</v>
      </c>
      <c r="L66" s="6" t="s">
        <v>29</v>
      </c>
      <c r="M66" s="6" t="s">
        <v>180</v>
      </c>
      <c r="N66" s="6">
        <v>1</v>
      </c>
      <c r="O66" s="6" t="s">
        <v>191</v>
      </c>
      <c r="P66" s="6" t="s">
        <v>31</v>
      </c>
      <c r="Q66" s="6" t="s">
        <v>229</v>
      </c>
      <c r="R66" s="6" t="s">
        <v>229</v>
      </c>
      <c r="S66" s="6" t="s">
        <v>229</v>
      </c>
      <c r="T66" s="6" t="s">
        <v>31</v>
      </c>
      <c r="U66" s="6" t="s">
        <v>229</v>
      </c>
      <c r="V66" s="6" t="s">
        <v>229</v>
      </c>
      <c r="W66" s="6" t="s">
        <v>31</v>
      </c>
      <c r="X66" s="6" t="s">
        <v>229</v>
      </c>
      <c r="Y66" s="6" t="s">
        <v>229</v>
      </c>
      <c r="Z66" s="6" t="s">
        <v>31</v>
      </c>
      <c r="AA66" s="6" t="s">
        <v>229</v>
      </c>
      <c r="AB66" s="6" t="s">
        <v>229</v>
      </c>
      <c r="AC66" s="6" t="s">
        <v>31</v>
      </c>
      <c r="AD66" s="6" t="s">
        <v>229</v>
      </c>
      <c r="AE66" s="6" t="s">
        <v>229</v>
      </c>
      <c r="AF66" s="6" t="s">
        <v>31</v>
      </c>
      <c r="AG66" s="6" t="s">
        <v>229</v>
      </c>
      <c r="AH66" s="6" t="s">
        <v>229</v>
      </c>
      <c r="AI66" s="6" t="s">
        <v>31</v>
      </c>
      <c r="AJ66" s="6" t="s">
        <v>229</v>
      </c>
      <c r="AK66" s="6" t="s">
        <v>229</v>
      </c>
      <c r="AL66" s="4"/>
      <c r="AM66" s="7"/>
      <c r="AN66" s="7"/>
      <c r="AO66" s="4"/>
      <c r="AP66" s="7"/>
      <c r="AQ66" s="7"/>
      <c r="AR66" s="4"/>
      <c r="AS66" s="7"/>
      <c r="AT66" s="7"/>
      <c r="AU66" s="6">
        <v>1</v>
      </c>
      <c r="AV66" s="6" t="s">
        <v>230</v>
      </c>
      <c r="AW66" s="6">
        <v>16</v>
      </c>
      <c r="AX66" s="6" t="s">
        <v>231</v>
      </c>
      <c r="AY66" s="6">
        <v>4</v>
      </c>
      <c r="AZ66" s="6" t="s">
        <v>231</v>
      </c>
      <c r="BA66" s="23" t="str">
        <f>'Fertilizer &amp; Pesticide demand'!H66</f>
        <v>Yes</v>
      </c>
      <c r="BB66" s="23">
        <f>'Fertilizer &amp; Pesticide demand'!I66</f>
        <v>1</v>
      </c>
      <c r="BC66" s="23" t="str">
        <f>'Fertilizer &amp; Pesticide demand'!J66</f>
        <v>Packets</v>
      </c>
      <c r="BD66" s="10" t="e">
        <f>'Fertilizer &amp; Pesticide demand'!#REF!</f>
        <v>#REF!</v>
      </c>
      <c r="BE66" s="10" t="e">
        <f>'Fertilizer &amp; Pesticide demand'!#REF!</f>
        <v>#REF!</v>
      </c>
      <c r="BF66" s="10" t="e">
        <f>'Fertilizer &amp; Pesticide demand'!#REF!</f>
        <v>#REF!</v>
      </c>
      <c r="BG66" s="10" t="str">
        <f>'Fertilizer &amp; Pesticide demand'!K66</f>
        <v>No</v>
      </c>
      <c r="BH66" s="10">
        <f>'Fertilizer &amp; Pesticide demand'!L66</f>
        <v>0</v>
      </c>
      <c r="BI66" s="10">
        <f>'Fertilizer &amp; Pesticide demand'!M66</f>
        <v>0</v>
      </c>
      <c r="BJ66" s="10" t="str">
        <f>'Fertilizer &amp; Pesticide demand'!N66</f>
        <v>Yes</v>
      </c>
      <c r="BK66" s="10">
        <f>'Fertilizer &amp; Pesticide demand'!O66</f>
        <v>1</v>
      </c>
      <c r="BL66" s="10" t="str">
        <f>'Fertilizer &amp; Pesticide demand'!P66</f>
        <v>Packet</v>
      </c>
    </row>
    <row r="67" spans="1:64" ht="20.100000000000001" customHeight="1" x14ac:dyDescent="0.25">
      <c r="A67" s="6">
        <f t="shared" si="1"/>
        <v>65</v>
      </c>
      <c r="B67" s="6" t="s">
        <v>17</v>
      </c>
      <c r="C67" s="28" t="s">
        <v>91</v>
      </c>
      <c r="D67" s="4"/>
      <c r="E67" s="6" t="s">
        <v>31</v>
      </c>
      <c r="F67" s="28" t="s">
        <v>12</v>
      </c>
      <c r="G67" s="6" t="s">
        <v>241</v>
      </c>
      <c r="H67" s="6" t="s">
        <v>228</v>
      </c>
      <c r="I67" s="6" t="s">
        <v>29</v>
      </c>
      <c r="J67" s="10" t="s">
        <v>173</v>
      </c>
      <c r="K67" s="6">
        <v>200</v>
      </c>
      <c r="L67" s="6" t="s">
        <v>29</v>
      </c>
      <c r="M67" s="6" t="s">
        <v>180</v>
      </c>
      <c r="N67" s="6">
        <v>1</v>
      </c>
      <c r="O67" s="6" t="s">
        <v>191</v>
      </c>
      <c r="P67" s="6" t="s">
        <v>31</v>
      </c>
      <c r="Q67" s="6" t="s">
        <v>229</v>
      </c>
      <c r="R67" s="6" t="s">
        <v>229</v>
      </c>
      <c r="S67" s="6" t="s">
        <v>229</v>
      </c>
      <c r="T67" s="6" t="s">
        <v>31</v>
      </c>
      <c r="U67" s="6" t="s">
        <v>229</v>
      </c>
      <c r="V67" s="6" t="s">
        <v>229</v>
      </c>
      <c r="W67" s="6" t="s">
        <v>31</v>
      </c>
      <c r="X67" s="6" t="s">
        <v>229</v>
      </c>
      <c r="Y67" s="6" t="s">
        <v>229</v>
      </c>
      <c r="Z67" s="6" t="s">
        <v>31</v>
      </c>
      <c r="AA67" s="6" t="s">
        <v>229</v>
      </c>
      <c r="AB67" s="6" t="s">
        <v>229</v>
      </c>
      <c r="AC67" s="6" t="s">
        <v>31</v>
      </c>
      <c r="AD67" s="6" t="s">
        <v>229</v>
      </c>
      <c r="AE67" s="6" t="s">
        <v>229</v>
      </c>
      <c r="AF67" s="6" t="s">
        <v>31</v>
      </c>
      <c r="AG67" s="6" t="s">
        <v>229</v>
      </c>
      <c r="AH67" s="6" t="s">
        <v>229</v>
      </c>
      <c r="AI67" s="6" t="s">
        <v>31</v>
      </c>
      <c r="AJ67" s="6" t="s">
        <v>229</v>
      </c>
      <c r="AK67" s="6" t="s">
        <v>229</v>
      </c>
      <c r="AL67" s="4"/>
      <c r="AM67" s="7"/>
      <c r="AN67" s="7"/>
      <c r="AO67" s="4"/>
      <c r="AP67" s="7"/>
      <c r="AQ67" s="7"/>
      <c r="AR67" s="4"/>
      <c r="AS67" s="7"/>
      <c r="AT67" s="7"/>
      <c r="AU67" s="6">
        <v>1</v>
      </c>
      <c r="AV67" s="6" t="s">
        <v>230</v>
      </c>
      <c r="AW67" s="6">
        <v>16</v>
      </c>
      <c r="AX67" s="6" t="s">
        <v>231</v>
      </c>
      <c r="AY67" s="6">
        <v>4</v>
      </c>
      <c r="AZ67" s="6" t="s">
        <v>231</v>
      </c>
      <c r="BA67" s="23" t="str">
        <f>'Fertilizer &amp; Pesticide demand'!H67</f>
        <v>Yes</v>
      </c>
      <c r="BB67" s="23">
        <f>'Fertilizer &amp; Pesticide demand'!I67</f>
        <v>1</v>
      </c>
      <c r="BC67" s="23" t="str">
        <f>'Fertilizer &amp; Pesticide demand'!J67</f>
        <v>Packets</v>
      </c>
      <c r="BD67" s="10" t="e">
        <f>'Fertilizer &amp; Pesticide demand'!#REF!</f>
        <v>#REF!</v>
      </c>
      <c r="BE67" s="10" t="e">
        <f>'Fertilizer &amp; Pesticide demand'!#REF!</f>
        <v>#REF!</v>
      </c>
      <c r="BF67" s="10" t="e">
        <f>'Fertilizer &amp; Pesticide demand'!#REF!</f>
        <v>#REF!</v>
      </c>
      <c r="BG67" s="10" t="str">
        <f>'Fertilizer &amp; Pesticide demand'!K67</f>
        <v>No</v>
      </c>
      <c r="BH67" s="10">
        <f>'Fertilizer &amp; Pesticide demand'!L67</f>
        <v>0</v>
      </c>
      <c r="BI67" s="10">
        <f>'Fertilizer &amp; Pesticide demand'!M67</f>
        <v>0</v>
      </c>
      <c r="BJ67" s="10" t="str">
        <f>'Fertilizer &amp; Pesticide demand'!N67</f>
        <v>Yes</v>
      </c>
      <c r="BK67" s="10">
        <f>'Fertilizer &amp; Pesticide demand'!O67</f>
        <v>1</v>
      </c>
      <c r="BL67" s="10" t="str">
        <f>'Fertilizer &amp; Pesticide demand'!P67</f>
        <v>Packet</v>
      </c>
    </row>
    <row r="68" spans="1:64" ht="20.100000000000001" customHeight="1" x14ac:dyDescent="0.25">
      <c r="A68" s="6">
        <f t="shared" si="1"/>
        <v>66</v>
      </c>
      <c r="B68" s="6" t="s">
        <v>17</v>
      </c>
      <c r="C68" s="28" t="s">
        <v>92</v>
      </c>
      <c r="D68" s="4"/>
      <c r="E68" s="6" t="s">
        <v>31</v>
      </c>
      <c r="F68" s="28" t="s">
        <v>12</v>
      </c>
      <c r="G68" s="6" t="s">
        <v>241</v>
      </c>
      <c r="H68" s="6" t="s">
        <v>228</v>
      </c>
      <c r="I68" s="6" t="s">
        <v>29</v>
      </c>
      <c r="J68" s="10" t="s">
        <v>173</v>
      </c>
      <c r="K68" s="6">
        <v>200</v>
      </c>
      <c r="L68" s="6" t="s">
        <v>29</v>
      </c>
      <c r="M68" s="6" t="s">
        <v>180</v>
      </c>
      <c r="N68" s="6">
        <v>1</v>
      </c>
      <c r="O68" s="6" t="s">
        <v>191</v>
      </c>
      <c r="P68" s="6" t="s">
        <v>31</v>
      </c>
      <c r="Q68" s="6" t="s">
        <v>229</v>
      </c>
      <c r="R68" s="6" t="s">
        <v>229</v>
      </c>
      <c r="S68" s="6" t="s">
        <v>229</v>
      </c>
      <c r="T68" s="6" t="s">
        <v>31</v>
      </c>
      <c r="U68" s="6" t="s">
        <v>229</v>
      </c>
      <c r="V68" s="6" t="s">
        <v>229</v>
      </c>
      <c r="W68" s="6" t="s">
        <v>31</v>
      </c>
      <c r="X68" s="6" t="s">
        <v>229</v>
      </c>
      <c r="Y68" s="6" t="s">
        <v>229</v>
      </c>
      <c r="Z68" s="6" t="s">
        <v>31</v>
      </c>
      <c r="AA68" s="6" t="s">
        <v>229</v>
      </c>
      <c r="AB68" s="6" t="s">
        <v>229</v>
      </c>
      <c r="AC68" s="6" t="s">
        <v>31</v>
      </c>
      <c r="AD68" s="6" t="s">
        <v>229</v>
      </c>
      <c r="AE68" s="6" t="s">
        <v>229</v>
      </c>
      <c r="AF68" s="6" t="s">
        <v>31</v>
      </c>
      <c r="AG68" s="6" t="s">
        <v>229</v>
      </c>
      <c r="AH68" s="6" t="s">
        <v>229</v>
      </c>
      <c r="AI68" s="6" t="s">
        <v>31</v>
      </c>
      <c r="AJ68" s="6" t="s">
        <v>229</v>
      </c>
      <c r="AK68" s="6" t="s">
        <v>229</v>
      </c>
      <c r="AL68" s="4"/>
      <c r="AM68" s="7"/>
      <c r="AN68" s="7"/>
      <c r="AO68" s="4"/>
      <c r="AP68" s="7"/>
      <c r="AQ68" s="7"/>
      <c r="AR68" s="4"/>
      <c r="AS68" s="7"/>
      <c r="AT68" s="7"/>
      <c r="AU68" s="6">
        <v>1</v>
      </c>
      <c r="AV68" s="6" t="s">
        <v>230</v>
      </c>
      <c r="AW68" s="6">
        <v>16</v>
      </c>
      <c r="AX68" s="6" t="s">
        <v>231</v>
      </c>
      <c r="AY68" s="6">
        <v>4</v>
      </c>
      <c r="AZ68" s="6" t="s">
        <v>231</v>
      </c>
      <c r="BA68" s="23" t="str">
        <f>'Fertilizer &amp; Pesticide demand'!H68</f>
        <v>Yes</v>
      </c>
      <c r="BB68" s="23">
        <f>'Fertilizer &amp; Pesticide demand'!I68</f>
        <v>1</v>
      </c>
      <c r="BC68" s="23" t="str">
        <f>'Fertilizer &amp; Pesticide demand'!J68</f>
        <v>Packets</v>
      </c>
      <c r="BD68" s="10" t="e">
        <f>'Fertilizer &amp; Pesticide demand'!#REF!</f>
        <v>#REF!</v>
      </c>
      <c r="BE68" s="10" t="e">
        <f>'Fertilizer &amp; Pesticide demand'!#REF!</f>
        <v>#REF!</v>
      </c>
      <c r="BF68" s="10" t="e">
        <f>'Fertilizer &amp; Pesticide demand'!#REF!</f>
        <v>#REF!</v>
      </c>
      <c r="BG68" s="10" t="str">
        <f>'Fertilizer &amp; Pesticide demand'!K68</f>
        <v>No</v>
      </c>
      <c r="BH68" s="10">
        <f>'Fertilizer &amp; Pesticide demand'!L68</f>
        <v>0</v>
      </c>
      <c r="BI68" s="10">
        <f>'Fertilizer &amp; Pesticide demand'!M68</f>
        <v>0</v>
      </c>
      <c r="BJ68" s="10" t="str">
        <f>'Fertilizer &amp; Pesticide demand'!N68</f>
        <v>Yes</v>
      </c>
      <c r="BK68" s="10">
        <f>'Fertilizer &amp; Pesticide demand'!O68</f>
        <v>1</v>
      </c>
      <c r="BL68" s="10" t="str">
        <f>'Fertilizer &amp; Pesticide demand'!P68</f>
        <v>Packet</v>
      </c>
    </row>
    <row r="69" spans="1:64" ht="20.100000000000001" customHeight="1" x14ac:dyDescent="0.25">
      <c r="A69" s="6">
        <f t="shared" si="1"/>
        <v>67</v>
      </c>
      <c r="B69" s="6" t="s">
        <v>17</v>
      </c>
      <c r="C69" s="28" t="s">
        <v>242</v>
      </c>
      <c r="D69" s="4"/>
      <c r="E69" s="6" t="s">
        <v>31</v>
      </c>
      <c r="F69" s="28" t="s">
        <v>12</v>
      </c>
      <c r="G69" s="6" t="s">
        <v>241</v>
      </c>
      <c r="H69" s="6" t="s">
        <v>228</v>
      </c>
      <c r="I69" s="6" t="s">
        <v>29</v>
      </c>
      <c r="J69" s="10" t="s">
        <v>173</v>
      </c>
      <c r="K69" s="6">
        <v>200</v>
      </c>
      <c r="L69" s="6" t="s">
        <v>29</v>
      </c>
      <c r="M69" s="6" t="s">
        <v>180</v>
      </c>
      <c r="N69" s="6">
        <v>1</v>
      </c>
      <c r="O69" s="6" t="s">
        <v>191</v>
      </c>
      <c r="P69" s="6" t="s">
        <v>31</v>
      </c>
      <c r="Q69" s="6" t="s">
        <v>229</v>
      </c>
      <c r="R69" s="6" t="s">
        <v>229</v>
      </c>
      <c r="S69" s="6" t="s">
        <v>229</v>
      </c>
      <c r="T69" s="6" t="s">
        <v>31</v>
      </c>
      <c r="U69" s="6" t="s">
        <v>229</v>
      </c>
      <c r="V69" s="6" t="s">
        <v>229</v>
      </c>
      <c r="W69" s="6" t="s">
        <v>31</v>
      </c>
      <c r="X69" s="6" t="s">
        <v>229</v>
      </c>
      <c r="Y69" s="6" t="s">
        <v>229</v>
      </c>
      <c r="Z69" s="6" t="s">
        <v>31</v>
      </c>
      <c r="AA69" s="6" t="s">
        <v>229</v>
      </c>
      <c r="AB69" s="6" t="s">
        <v>229</v>
      </c>
      <c r="AC69" s="6" t="s">
        <v>31</v>
      </c>
      <c r="AD69" s="6" t="s">
        <v>229</v>
      </c>
      <c r="AE69" s="6" t="s">
        <v>229</v>
      </c>
      <c r="AF69" s="6" t="s">
        <v>31</v>
      </c>
      <c r="AG69" s="6" t="s">
        <v>229</v>
      </c>
      <c r="AH69" s="6" t="s">
        <v>229</v>
      </c>
      <c r="AI69" s="6" t="s">
        <v>31</v>
      </c>
      <c r="AJ69" s="6" t="s">
        <v>229</v>
      </c>
      <c r="AK69" s="6" t="s">
        <v>229</v>
      </c>
      <c r="AL69" s="4"/>
      <c r="AM69" s="7"/>
      <c r="AN69" s="7"/>
      <c r="AO69" s="4"/>
      <c r="AP69" s="7"/>
      <c r="AQ69" s="7"/>
      <c r="AR69" s="4"/>
      <c r="AS69" s="7"/>
      <c r="AT69" s="7"/>
      <c r="AU69" s="6">
        <v>1</v>
      </c>
      <c r="AV69" s="6" t="s">
        <v>230</v>
      </c>
      <c r="AW69" s="6">
        <v>16</v>
      </c>
      <c r="AX69" s="6" t="s">
        <v>231</v>
      </c>
      <c r="AY69" s="6">
        <v>4</v>
      </c>
      <c r="AZ69" s="6" t="s">
        <v>231</v>
      </c>
      <c r="BA69" s="23" t="str">
        <f>'Fertilizer &amp; Pesticide demand'!H69</f>
        <v>Yes</v>
      </c>
      <c r="BB69" s="23">
        <f>'Fertilizer &amp; Pesticide demand'!I69</f>
        <v>1</v>
      </c>
      <c r="BC69" s="23" t="str">
        <f>'Fertilizer &amp; Pesticide demand'!J69</f>
        <v>Packets</v>
      </c>
      <c r="BD69" s="10" t="e">
        <f>'Fertilizer &amp; Pesticide demand'!#REF!</f>
        <v>#REF!</v>
      </c>
      <c r="BE69" s="10" t="e">
        <f>'Fertilizer &amp; Pesticide demand'!#REF!</f>
        <v>#REF!</v>
      </c>
      <c r="BF69" s="10" t="e">
        <f>'Fertilizer &amp; Pesticide demand'!#REF!</f>
        <v>#REF!</v>
      </c>
      <c r="BG69" s="10" t="str">
        <f>'Fertilizer &amp; Pesticide demand'!K69</f>
        <v>No</v>
      </c>
      <c r="BH69" s="10">
        <f>'Fertilizer &amp; Pesticide demand'!L69</f>
        <v>0</v>
      </c>
      <c r="BI69" s="10">
        <f>'Fertilizer &amp; Pesticide demand'!M69</f>
        <v>0</v>
      </c>
      <c r="BJ69" s="10" t="str">
        <f>'Fertilizer &amp; Pesticide demand'!N69</f>
        <v>Yes</v>
      </c>
      <c r="BK69" s="10">
        <f>'Fertilizer &amp; Pesticide demand'!O69</f>
        <v>1</v>
      </c>
      <c r="BL69" s="10" t="str">
        <f>'Fertilizer &amp; Pesticide demand'!P69</f>
        <v>Packet</v>
      </c>
    </row>
    <row r="70" spans="1:64" ht="20.100000000000001" customHeight="1" x14ac:dyDescent="0.25">
      <c r="A70" s="6">
        <f t="shared" si="1"/>
        <v>68</v>
      </c>
      <c r="B70" s="6" t="s">
        <v>17</v>
      </c>
      <c r="C70" s="28" t="s">
        <v>97</v>
      </c>
      <c r="D70" s="4"/>
      <c r="E70" s="6" t="s">
        <v>31</v>
      </c>
      <c r="F70" s="28" t="s">
        <v>12</v>
      </c>
      <c r="G70" s="6" t="s">
        <v>241</v>
      </c>
      <c r="H70" s="6" t="s">
        <v>228</v>
      </c>
      <c r="I70" s="6" t="s">
        <v>29</v>
      </c>
      <c r="J70" s="10" t="s">
        <v>173</v>
      </c>
      <c r="K70" s="6">
        <v>200</v>
      </c>
      <c r="L70" s="6" t="s">
        <v>29</v>
      </c>
      <c r="M70" s="6" t="s">
        <v>180</v>
      </c>
      <c r="N70" s="6">
        <v>1</v>
      </c>
      <c r="O70" s="6" t="s">
        <v>191</v>
      </c>
      <c r="P70" s="6" t="s">
        <v>31</v>
      </c>
      <c r="Q70" s="6" t="s">
        <v>229</v>
      </c>
      <c r="R70" s="6" t="s">
        <v>229</v>
      </c>
      <c r="S70" s="6" t="s">
        <v>229</v>
      </c>
      <c r="T70" s="6" t="s">
        <v>31</v>
      </c>
      <c r="U70" s="6" t="s">
        <v>229</v>
      </c>
      <c r="V70" s="6" t="s">
        <v>229</v>
      </c>
      <c r="W70" s="6" t="s">
        <v>31</v>
      </c>
      <c r="X70" s="6" t="s">
        <v>229</v>
      </c>
      <c r="Y70" s="6" t="s">
        <v>229</v>
      </c>
      <c r="Z70" s="6" t="s">
        <v>31</v>
      </c>
      <c r="AA70" s="6" t="s">
        <v>229</v>
      </c>
      <c r="AB70" s="6" t="s">
        <v>229</v>
      </c>
      <c r="AC70" s="6" t="s">
        <v>31</v>
      </c>
      <c r="AD70" s="6" t="s">
        <v>229</v>
      </c>
      <c r="AE70" s="6" t="s">
        <v>229</v>
      </c>
      <c r="AF70" s="6" t="s">
        <v>31</v>
      </c>
      <c r="AG70" s="6" t="s">
        <v>229</v>
      </c>
      <c r="AH70" s="6" t="s">
        <v>229</v>
      </c>
      <c r="AI70" s="6" t="s">
        <v>31</v>
      </c>
      <c r="AJ70" s="6" t="s">
        <v>229</v>
      </c>
      <c r="AK70" s="6" t="s">
        <v>229</v>
      </c>
      <c r="AL70" s="4"/>
      <c r="AM70" s="7"/>
      <c r="AN70" s="7"/>
      <c r="AO70" s="4"/>
      <c r="AP70" s="7"/>
      <c r="AQ70" s="7"/>
      <c r="AR70" s="4"/>
      <c r="AS70" s="7"/>
      <c r="AT70" s="7"/>
      <c r="AU70" s="6">
        <v>1</v>
      </c>
      <c r="AV70" s="6" t="s">
        <v>230</v>
      </c>
      <c r="AW70" s="6">
        <v>16</v>
      </c>
      <c r="AX70" s="6" t="s">
        <v>231</v>
      </c>
      <c r="AY70" s="6">
        <v>4</v>
      </c>
      <c r="AZ70" s="6" t="s">
        <v>231</v>
      </c>
      <c r="BA70" s="23" t="str">
        <f>'Fertilizer &amp; Pesticide demand'!H70</f>
        <v>Yes</v>
      </c>
      <c r="BB70" s="23">
        <f>'Fertilizer &amp; Pesticide demand'!I70</f>
        <v>1</v>
      </c>
      <c r="BC70" s="23" t="str">
        <f>'Fertilizer &amp; Pesticide demand'!J70</f>
        <v>Packets</v>
      </c>
      <c r="BD70" s="10" t="e">
        <f>'Fertilizer &amp; Pesticide demand'!#REF!</f>
        <v>#REF!</v>
      </c>
      <c r="BE70" s="10" t="e">
        <f>'Fertilizer &amp; Pesticide demand'!#REF!</f>
        <v>#REF!</v>
      </c>
      <c r="BF70" s="10" t="e">
        <f>'Fertilizer &amp; Pesticide demand'!#REF!</f>
        <v>#REF!</v>
      </c>
      <c r="BG70" s="10" t="str">
        <f>'Fertilizer &amp; Pesticide demand'!K70</f>
        <v>No</v>
      </c>
      <c r="BH70" s="10">
        <f>'Fertilizer &amp; Pesticide demand'!L70</f>
        <v>0</v>
      </c>
      <c r="BI70" s="10">
        <f>'Fertilizer &amp; Pesticide demand'!M70</f>
        <v>0</v>
      </c>
      <c r="BJ70" s="10" t="str">
        <f>'Fertilizer &amp; Pesticide demand'!N70</f>
        <v>Yes</v>
      </c>
      <c r="BK70" s="10">
        <f>'Fertilizer &amp; Pesticide demand'!O70</f>
        <v>1</v>
      </c>
      <c r="BL70" s="10" t="str">
        <f>'Fertilizer &amp; Pesticide demand'!P70</f>
        <v>Packet</v>
      </c>
    </row>
    <row r="71" spans="1:64" ht="20.100000000000001" customHeight="1" x14ac:dyDescent="0.25">
      <c r="A71" s="6">
        <f t="shared" si="1"/>
        <v>69</v>
      </c>
      <c r="B71" s="6" t="s">
        <v>17</v>
      </c>
      <c r="C71" s="28" t="s">
        <v>98</v>
      </c>
      <c r="D71" s="4"/>
      <c r="E71" s="6" t="s">
        <v>31</v>
      </c>
      <c r="F71" s="28" t="s">
        <v>12</v>
      </c>
      <c r="G71" s="6" t="s">
        <v>241</v>
      </c>
      <c r="H71" s="6" t="s">
        <v>228</v>
      </c>
      <c r="I71" s="6" t="s">
        <v>29</v>
      </c>
      <c r="J71" s="10" t="s">
        <v>173</v>
      </c>
      <c r="K71" s="6">
        <v>200</v>
      </c>
      <c r="L71" s="6" t="s">
        <v>29</v>
      </c>
      <c r="M71" s="6" t="s">
        <v>180</v>
      </c>
      <c r="N71" s="6">
        <v>1</v>
      </c>
      <c r="O71" s="6" t="s">
        <v>191</v>
      </c>
      <c r="P71" s="6" t="s">
        <v>31</v>
      </c>
      <c r="Q71" s="6" t="s">
        <v>229</v>
      </c>
      <c r="R71" s="6" t="s">
        <v>229</v>
      </c>
      <c r="S71" s="6" t="s">
        <v>229</v>
      </c>
      <c r="T71" s="6" t="s">
        <v>31</v>
      </c>
      <c r="U71" s="6" t="s">
        <v>229</v>
      </c>
      <c r="V71" s="6" t="s">
        <v>229</v>
      </c>
      <c r="W71" s="6" t="s">
        <v>31</v>
      </c>
      <c r="X71" s="6" t="s">
        <v>229</v>
      </c>
      <c r="Y71" s="6" t="s">
        <v>229</v>
      </c>
      <c r="Z71" s="6" t="s">
        <v>31</v>
      </c>
      <c r="AA71" s="6" t="s">
        <v>229</v>
      </c>
      <c r="AB71" s="6" t="s">
        <v>229</v>
      </c>
      <c r="AC71" s="6" t="s">
        <v>31</v>
      </c>
      <c r="AD71" s="6" t="s">
        <v>229</v>
      </c>
      <c r="AE71" s="6" t="s">
        <v>229</v>
      </c>
      <c r="AF71" s="6" t="s">
        <v>31</v>
      </c>
      <c r="AG71" s="6" t="s">
        <v>229</v>
      </c>
      <c r="AH71" s="6" t="s">
        <v>229</v>
      </c>
      <c r="AI71" s="6" t="s">
        <v>31</v>
      </c>
      <c r="AJ71" s="6" t="s">
        <v>229</v>
      </c>
      <c r="AK71" s="6" t="s">
        <v>229</v>
      </c>
      <c r="AL71" s="4"/>
      <c r="AM71" s="7"/>
      <c r="AN71" s="7"/>
      <c r="AO71" s="4"/>
      <c r="AP71" s="7"/>
      <c r="AQ71" s="7"/>
      <c r="AR71" s="4"/>
      <c r="AS71" s="7"/>
      <c r="AT71" s="7"/>
      <c r="AU71" s="6">
        <v>1</v>
      </c>
      <c r="AV71" s="6" t="s">
        <v>230</v>
      </c>
      <c r="AW71" s="6">
        <v>16</v>
      </c>
      <c r="AX71" s="6" t="s">
        <v>231</v>
      </c>
      <c r="AY71" s="6">
        <v>4</v>
      </c>
      <c r="AZ71" s="6" t="s">
        <v>231</v>
      </c>
      <c r="BA71" s="23" t="str">
        <f>'Fertilizer &amp; Pesticide demand'!H71</f>
        <v>Yes</v>
      </c>
      <c r="BB71" s="23">
        <f>'Fertilizer &amp; Pesticide demand'!I71</f>
        <v>1</v>
      </c>
      <c r="BC71" s="23" t="str">
        <f>'Fertilizer &amp; Pesticide demand'!J71</f>
        <v>Packets</v>
      </c>
      <c r="BD71" s="10" t="e">
        <f>'Fertilizer &amp; Pesticide demand'!#REF!</f>
        <v>#REF!</v>
      </c>
      <c r="BE71" s="10" t="e">
        <f>'Fertilizer &amp; Pesticide demand'!#REF!</f>
        <v>#REF!</v>
      </c>
      <c r="BF71" s="10" t="e">
        <f>'Fertilizer &amp; Pesticide demand'!#REF!</f>
        <v>#REF!</v>
      </c>
      <c r="BG71" s="10" t="str">
        <f>'Fertilizer &amp; Pesticide demand'!K71</f>
        <v>No</v>
      </c>
      <c r="BH71" s="10">
        <f>'Fertilizer &amp; Pesticide demand'!L71</f>
        <v>0</v>
      </c>
      <c r="BI71" s="10">
        <f>'Fertilizer &amp; Pesticide demand'!M71</f>
        <v>0</v>
      </c>
      <c r="BJ71" s="10" t="str">
        <f>'Fertilizer &amp; Pesticide demand'!N71</f>
        <v>Yes</v>
      </c>
      <c r="BK71" s="10">
        <f>'Fertilizer &amp; Pesticide demand'!O71</f>
        <v>1</v>
      </c>
      <c r="BL71" s="10" t="str">
        <f>'Fertilizer &amp; Pesticide demand'!P71</f>
        <v>Packet</v>
      </c>
    </row>
    <row r="72" spans="1:64" ht="20.100000000000001" customHeight="1" x14ac:dyDescent="0.25">
      <c r="A72" s="6">
        <f t="shared" si="1"/>
        <v>70</v>
      </c>
      <c r="B72" s="6" t="s">
        <v>17</v>
      </c>
      <c r="C72" s="28" t="s">
        <v>100</v>
      </c>
      <c r="D72" s="4"/>
      <c r="E72" s="6" t="s">
        <v>31</v>
      </c>
      <c r="F72" s="28" t="s">
        <v>12</v>
      </c>
      <c r="G72" s="6" t="s">
        <v>241</v>
      </c>
      <c r="H72" s="6" t="s">
        <v>228</v>
      </c>
      <c r="I72" s="6" t="s">
        <v>29</v>
      </c>
      <c r="J72" s="10" t="s">
        <v>173</v>
      </c>
      <c r="K72" s="6">
        <v>200</v>
      </c>
      <c r="L72" s="6" t="s">
        <v>29</v>
      </c>
      <c r="M72" s="6" t="s">
        <v>180</v>
      </c>
      <c r="N72" s="6">
        <v>1</v>
      </c>
      <c r="O72" s="6" t="s">
        <v>191</v>
      </c>
      <c r="P72" s="6" t="s">
        <v>31</v>
      </c>
      <c r="Q72" s="6" t="s">
        <v>229</v>
      </c>
      <c r="R72" s="6" t="s">
        <v>229</v>
      </c>
      <c r="S72" s="6" t="s">
        <v>229</v>
      </c>
      <c r="T72" s="6" t="s">
        <v>31</v>
      </c>
      <c r="U72" s="6" t="s">
        <v>229</v>
      </c>
      <c r="V72" s="6" t="s">
        <v>229</v>
      </c>
      <c r="W72" s="6" t="s">
        <v>31</v>
      </c>
      <c r="X72" s="6" t="s">
        <v>229</v>
      </c>
      <c r="Y72" s="6" t="s">
        <v>229</v>
      </c>
      <c r="Z72" s="6" t="s">
        <v>31</v>
      </c>
      <c r="AA72" s="6" t="s">
        <v>229</v>
      </c>
      <c r="AB72" s="6" t="s">
        <v>229</v>
      </c>
      <c r="AC72" s="6" t="s">
        <v>31</v>
      </c>
      <c r="AD72" s="6" t="s">
        <v>229</v>
      </c>
      <c r="AE72" s="6" t="s">
        <v>229</v>
      </c>
      <c r="AF72" s="6" t="s">
        <v>31</v>
      </c>
      <c r="AG72" s="6" t="s">
        <v>229</v>
      </c>
      <c r="AH72" s="6" t="s">
        <v>229</v>
      </c>
      <c r="AI72" s="6" t="s">
        <v>31</v>
      </c>
      <c r="AJ72" s="6" t="s">
        <v>229</v>
      </c>
      <c r="AK72" s="6" t="s">
        <v>229</v>
      </c>
      <c r="AL72" s="4"/>
      <c r="AM72" s="7"/>
      <c r="AN72" s="7"/>
      <c r="AO72" s="4"/>
      <c r="AP72" s="7"/>
      <c r="AQ72" s="7"/>
      <c r="AR72" s="4"/>
      <c r="AS72" s="7"/>
      <c r="AT72" s="7"/>
      <c r="AU72" s="6">
        <v>1</v>
      </c>
      <c r="AV72" s="6" t="s">
        <v>230</v>
      </c>
      <c r="AW72" s="6">
        <v>16</v>
      </c>
      <c r="AX72" s="6" t="s">
        <v>231</v>
      </c>
      <c r="AY72" s="6">
        <v>4</v>
      </c>
      <c r="AZ72" s="6" t="s">
        <v>231</v>
      </c>
      <c r="BA72" s="23" t="str">
        <f>'Fertilizer &amp; Pesticide demand'!H72</f>
        <v>Yes</v>
      </c>
      <c r="BB72" s="23">
        <f>'Fertilizer &amp; Pesticide demand'!I72</f>
        <v>1</v>
      </c>
      <c r="BC72" s="23" t="str">
        <f>'Fertilizer &amp; Pesticide demand'!J72</f>
        <v>Packets</v>
      </c>
      <c r="BD72" s="10" t="e">
        <f>'Fertilizer &amp; Pesticide demand'!#REF!</f>
        <v>#REF!</v>
      </c>
      <c r="BE72" s="10" t="e">
        <f>'Fertilizer &amp; Pesticide demand'!#REF!</f>
        <v>#REF!</v>
      </c>
      <c r="BF72" s="10" t="e">
        <f>'Fertilizer &amp; Pesticide demand'!#REF!</f>
        <v>#REF!</v>
      </c>
      <c r="BG72" s="10" t="str">
        <f>'Fertilizer &amp; Pesticide demand'!K72</f>
        <v>No</v>
      </c>
      <c r="BH72" s="10">
        <f>'Fertilizer &amp; Pesticide demand'!L72</f>
        <v>0</v>
      </c>
      <c r="BI72" s="10">
        <f>'Fertilizer &amp; Pesticide demand'!M72</f>
        <v>0</v>
      </c>
      <c r="BJ72" s="10" t="str">
        <f>'Fertilizer &amp; Pesticide demand'!N72</f>
        <v>Yes</v>
      </c>
      <c r="BK72" s="10">
        <f>'Fertilizer &amp; Pesticide demand'!O72</f>
        <v>1</v>
      </c>
      <c r="BL72" s="10" t="str">
        <f>'Fertilizer &amp; Pesticide demand'!P72</f>
        <v>Packet</v>
      </c>
    </row>
    <row r="73" spans="1:64" ht="20.100000000000001" customHeight="1" x14ac:dyDescent="0.25">
      <c r="A73" s="6">
        <f t="shared" si="1"/>
        <v>71</v>
      </c>
      <c r="B73" s="6" t="s">
        <v>17</v>
      </c>
      <c r="C73" s="28" t="s">
        <v>109</v>
      </c>
      <c r="D73" s="4"/>
      <c r="E73" s="6" t="s">
        <v>31</v>
      </c>
      <c r="F73" s="28" t="s">
        <v>12</v>
      </c>
      <c r="G73" s="6" t="s">
        <v>241</v>
      </c>
      <c r="H73" s="6" t="s">
        <v>228</v>
      </c>
      <c r="I73" s="6" t="s">
        <v>29</v>
      </c>
      <c r="J73" s="10" t="s">
        <v>173</v>
      </c>
      <c r="K73" s="6">
        <v>200</v>
      </c>
      <c r="L73" s="6" t="s">
        <v>29</v>
      </c>
      <c r="M73" s="6" t="s">
        <v>180</v>
      </c>
      <c r="N73" s="6">
        <v>1</v>
      </c>
      <c r="O73" s="6" t="s">
        <v>191</v>
      </c>
      <c r="P73" s="6" t="s">
        <v>31</v>
      </c>
      <c r="Q73" s="6" t="s">
        <v>229</v>
      </c>
      <c r="R73" s="6" t="s">
        <v>229</v>
      </c>
      <c r="S73" s="6" t="s">
        <v>229</v>
      </c>
      <c r="T73" s="6" t="s">
        <v>31</v>
      </c>
      <c r="U73" s="6" t="s">
        <v>229</v>
      </c>
      <c r="V73" s="6" t="s">
        <v>229</v>
      </c>
      <c r="W73" s="6" t="s">
        <v>31</v>
      </c>
      <c r="X73" s="6" t="s">
        <v>229</v>
      </c>
      <c r="Y73" s="6" t="s">
        <v>229</v>
      </c>
      <c r="Z73" s="6" t="s">
        <v>31</v>
      </c>
      <c r="AA73" s="6" t="s">
        <v>229</v>
      </c>
      <c r="AB73" s="6" t="s">
        <v>229</v>
      </c>
      <c r="AC73" s="6" t="s">
        <v>31</v>
      </c>
      <c r="AD73" s="6" t="s">
        <v>229</v>
      </c>
      <c r="AE73" s="6" t="s">
        <v>229</v>
      </c>
      <c r="AF73" s="6" t="s">
        <v>31</v>
      </c>
      <c r="AG73" s="6" t="s">
        <v>229</v>
      </c>
      <c r="AH73" s="6" t="s">
        <v>229</v>
      </c>
      <c r="AI73" s="6" t="s">
        <v>31</v>
      </c>
      <c r="AJ73" s="6" t="s">
        <v>229</v>
      </c>
      <c r="AK73" s="6" t="s">
        <v>229</v>
      </c>
      <c r="AL73" s="4"/>
      <c r="AM73" s="7"/>
      <c r="AN73" s="7"/>
      <c r="AO73" s="4"/>
      <c r="AP73" s="7"/>
      <c r="AQ73" s="7"/>
      <c r="AR73" s="4"/>
      <c r="AS73" s="7"/>
      <c r="AT73" s="7"/>
      <c r="AU73" s="6">
        <v>1</v>
      </c>
      <c r="AV73" s="6" t="s">
        <v>230</v>
      </c>
      <c r="AW73" s="6">
        <v>16</v>
      </c>
      <c r="AX73" s="6" t="s">
        <v>231</v>
      </c>
      <c r="AY73" s="6">
        <v>4</v>
      </c>
      <c r="AZ73" s="6" t="s">
        <v>231</v>
      </c>
      <c r="BA73" s="23" t="str">
        <f>'Fertilizer &amp; Pesticide demand'!H73</f>
        <v>Yes</v>
      </c>
      <c r="BB73" s="23">
        <f>'Fertilizer &amp; Pesticide demand'!I73</f>
        <v>1</v>
      </c>
      <c r="BC73" s="23" t="str">
        <f>'Fertilizer &amp; Pesticide demand'!J73</f>
        <v>Packets</v>
      </c>
      <c r="BD73" s="10" t="e">
        <f>'Fertilizer &amp; Pesticide demand'!#REF!</f>
        <v>#REF!</v>
      </c>
      <c r="BE73" s="10" t="e">
        <f>'Fertilizer &amp; Pesticide demand'!#REF!</f>
        <v>#REF!</v>
      </c>
      <c r="BF73" s="10" t="e">
        <f>'Fertilizer &amp; Pesticide demand'!#REF!</f>
        <v>#REF!</v>
      </c>
      <c r="BG73" s="10" t="str">
        <f>'Fertilizer &amp; Pesticide demand'!K73</f>
        <v>No</v>
      </c>
      <c r="BH73" s="10">
        <f>'Fertilizer &amp; Pesticide demand'!L73</f>
        <v>0</v>
      </c>
      <c r="BI73" s="10">
        <f>'Fertilizer &amp; Pesticide demand'!M73</f>
        <v>0</v>
      </c>
      <c r="BJ73" s="10" t="str">
        <f>'Fertilizer &amp; Pesticide demand'!N73</f>
        <v>Yes</v>
      </c>
      <c r="BK73" s="10">
        <f>'Fertilizer &amp; Pesticide demand'!O73</f>
        <v>1</v>
      </c>
      <c r="BL73" s="10" t="str">
        <f>'Fertilizer &amp; Pesticide demand'!P73</f>
        <v>Packet</v>
      </c>
    </row>
    <row r="74" spans="1:64" ht="20.100000000000001" customHeight="1" x14ac:dyDescent="0.25">
      <c r="A74" s="6">
        <f t="shared" si="1"/>
        <v>72</v>
      </c>
      <c r="B74" s="6" t="s">
        <v>17</v>
      </c>
      <c r="C74" s="28" t="s">
        <v>111</v>
      </c>
      <c r="D74" s="4"/>
      <c r="E74" s="6" t="s">
        <v>31</v>
      </c>
      <c r="F74" s="28" t="s">
        <v>12</v>
      </c>
      <c r="G74" s="6" t="s">
        <v>241</v>
      </c>
      <c r="H74" s="6" t="s">
        <v>228</v>
      </c>
      <c r="I74" s="6" t="s">
        <v>29</v>
      </c>
      <c r="J74" s="10" t="s">
        <v>173</v>
      </c>
      <c r="K74" s="6">
        <v>200</v>
      </c>
      <c r="L74" s="6" t="s">
        <v>29</v>
      </c>
      <c r="M74" s="6" t="s">
        <v>180</v>
      </c>
      <c r="N74" s="6">
        <v>1</v>
      </c>
      <c r="O74" s="6" t="s">
        <v>191</v>
      </c>
      <c r="P74" s="6" t="s">
        <v>31</v>
      </c>
      <c r="Q74" s="6" t="s">
        <v>229</v>
      </c>
      <c r="R74" s="6" t="s">
        <v>229</v>
      </c>
      <c r="S74" s="6" t="s">
        <v>229</v>
      </c>
      <c r="T74" s="6" t="s">
        <v>31</v>
      </c>
      <c r="U74" s="6" t="s">
        <v>229</v>
      </c>
      <c r="V74" s="6" t="s">
        <v>229</v>
      </c>
      <c r="W74" s="6" t="s">
        <v>31</v>
      </c>
      <c r="X74" s="6" t="s">
        <v>229</v>
      </c>
      <c r="Y74" s="6" t="s">
        <v>229</v>
      </c>
      <c r="Z74" s="6" t="s">
        <v>31</v>
      </c>
      <c r="AA74" s="6" t="s">
        <v>229</v>
      </c>
      <c r="AB74" s="6" t="s">
        <v>229</v>
      </c>
      <c r="AC74" s="6" t="s">
        <v>31</v>
      </c>
      <c r="AD74" s="6" t="s">
        <v>229</v>
      </c>
      <c r="AE74" s="6" t="s">
        <v>229</v>
      </c>
      <c r="AF74" s="6" t="s">
        <v>31</v>
      </c>
      <c r="AG74" s="6" t="s">
        <v>229</v>
      </c>
      <c r="AH74" s="6" t="s">
        <v>229</v>
      </c>
      <c r="AI74" s="6" t="s">
        <v>31</v>
      </c>
      <c r="AJ74" s="6" t="s">
        <v>229</v>
      </c>
      <c r="AK74" s="6" t="s">
        <v>229</v>
      </c>
      <c r="AL74" s="4"/>
      <c r="AM74" s="7"/>
      <c r="AN74" s="7"/>
      <c r="AO74" s="4"/>
      <c r="AP74" s="7"/>
      <c r="AQ74" s="7"/>
      <c r="AR74" s="4"/>
      <c r="AS74" s="7"/>
      <c r="AT74" s="7"/>
      <c r="AU74" s="6">
        <v>1</v>
      </c>
      <c r="AV74" s="6" t="s">
        <v>230</v>
      </c>
      <c r="AW74" s="6">
        <v>16</v>
      </c>
      <c r="AX74" s="6" t="s">
        <v>231</v>
      </c>
      <c r="AY74" s="6">
        <v>4</v>
      </c>
      <c r="AZ74" s="6" t="s">
        <v>231</v>
      </c>
      <c r="BA74" s="23" t="str">
        <f>'Fertilizer &amp; Pesticide demand'!H74</f>
        <v>Yes</v>
      </c>
      <c r="BB74" s="23">
        <f>'Fertilizer &amp; Pesticide demand'!I74</f>
        <v>1</v>
      </c>
      <c r="BC74" s="23" t="str">
        <f>'Fertilizer &amp; Pesticide demand'!J74</f>
        <v>Packets</v>
      </c>
      <c r="BD74" s="10" t="e">
        <f>'Fertilizer &amp; Pesticide demand'!#REF!</f>
        <v>#REF!</v>
      </c>
      <c r="BE74" s="10" t="e">
        <f>'Fertilizer &amp; Pesticide demand'!#REF!</f>
        <v>#REF!</v>
      </c>
      <c r="BF74" s="10" t="e">
        <f>'Fertilizer &amp; Pesticide demand'!#REF!</f>
        <v>#REF!</v>
      </c>
      <c r="BG74" s="10" t="str">
        <f>'Fertilizer &amp; Pesticide demand'!K74</f>
        <v>No</v>
      </c>
      <c r="BH74" s="10">
        <f>'Fertilizer &amp; Pesticide demand'!L74</f>
        <v>0</v>
      </c>
      <c r="BI74" s="10">
        <f>'Fertilizer &amp; Pesticide demand'!M74</f>
        <v>0</v>
      </c>
      <c r="BJ74" s="10" t="str">
        <f>'Fertilizer &amp; Pesticide demand'!N74</f>
        <v>Yes</v>
      </c>
      <c r="BK74" s="10">
        <f>'Fertilizer &amp; Pesticide demand'!O74</f>
        <v>1</v>
      </c>
      <c r="BL74" s="10" t="str">
        <f>'Fertilizer &amp; Pesticide demand'!P74</f>
        <v>Packet</v>
      </c>
    </row>
    <row r="75" spans="1:64" ht="20.100000000000001" customHeight="1" x14ac:dyDescent="0.25">
      <c r="A75" s="6">
        <f t="shared" si="1"/>
        <v>73</v>
      </c>
      <c r="B75" s="6" t="s">
        <v>17</v>
      </c>
      <c r="C75" s="28" t="s">
        <v>114</v>
      </c>
      <c r="D75" s="4"/>
      <c r="E75" s="6" t="s">
        <v>31</v>
      </c>
      <c r="F75" s="28" t="s">
        <v>12</v>
      </c>
      <c r="G75" s="6" t="s">
        <v>241</v>
      </c>
      <c r="H75" s="6" t="s">
        <v>228</v>
      </c>
      <c r="I75" s="6" t="s">
        <v>29</v>
      </c>
      <c r="J75" s="10" t="s">
        <v>173</v>
      </c>
      <c r="K75" s="6">
        <v>200</v>
      </c>
      <c r="L75" s="6" t="s">
        <v>29</v>
      </c>
      <c r="M75" s="6" t="s">
        <v>180</v>
      </c>
      <c r="N75" s="6">
        <v>1</v>
      </c>
      <c r="O75" s="6" t="s">
        <v>191</v>
      </c>
      <c r="P75" s="6" t="s">
        <v>31</v>
      </c>
      <c r="Q75" s="6" t="s">
        <v>229</v>
      </c>
      <c r="R75" s="6" t="s">
        <v>229</v>
      </c>
      <c r="S75" s="6" t="s">
        <v>229</v>
      </c>
      <c r="T75" s="6" t="s">
        <v>31</v>
      </c>
      <c r="U75" s="6" t="s">
        <v>229</v>
      </c>
      <c r="V75" s="6" t="s">
        <v>229</v>
      </c>
      <c r="W75" s="6" t="s">
        <v>31</v>
      </c>
      <c r="X75" s="6" t="s">
        <v>229</v>
      </c>
      <c r="Y75" s="6" t="s">
        <v>229</v>
      </c>
      <c r="Z75" s="6" t="s">
        <v>31</v>
      </c>
      <c r="AA75" s="6" t="s">
        <v>229</v>
      </c>
      <c r="AB75" s="6" t="s">
        <v>229</v>
      </c>
      <c r="AC75" s="6" t="s">
        <v>31</v>
      </c>
      <c r="AD75" s="6" t="s">
        <v>229</v>
      </c>
      <c r="AE75" s="6" t="s">
        <v>229</v>
      </c>
      <c r="AF75" s="6" t="s">
        <v>31</v>
      </c>
      <c r="AG75" s="6" t="s">
        <v>229</v>
      </c>
      <c r="AH75" s="6" t="s">
        <v>229</v>
      </c>
      <c r="AI75" s="6" t="s">
        <v>31</v>
      </c>
      <c r="AJ75" s="6" t="s">
        <v>229</v>
      </c>
      <c r="AK75" s="6" t="s">
        <v>229</v>
      </c>
      <c r="AL75" s="4"/>
      <c r="AM75" s="7"/>
      <c r="AN75" s="7"/>
      <c r="AO75" s="4"/>
      <c r="AP75" s="7"/>
      <c r="AQ75" s="7"/>
      <c r="AR75" s="4"/>
      <c r="AS75" s="7"/>
      <c r="AT75" s="7"/>
      <c r="AU75" s="6">
        <v>1</v>
      </c>
      <c r="AV75" s="6" t="s">
        <v>230</v>
      </c>
      <c r="AW75" s="6">
        <v>16</v>
      </c>
      <c r="AX75" s="6" t="s">
        <v>231</v>
      </c>
      <c r="AY75" s="6">
        <v>4</v>
      </c>
      <c r="AZ75" s="6" t="s">
        <v>231</v>
      </c>
      <c r="BA75" s="23" t="str">
        <f>'Fertilizer &amp; Pesticide demand'!H75</f>
        <v>Yes</v>
      </c>
      <c r="BB75" s="23">
        <f>'Fertilizer &amp; Pesticide demand'!I75</f>
        <v>1</v>
      </c>
      <c r="BC75" s="23" t="str">
        <f>'Fertilizer &amp; Pesticide demand'!J75</f>
        <v>Packets</v>
      </c>
      <c r="BD75" s="10" t="e">
        <f>'Fertilizer &amp; Pesticide demand'!#REF!</f>
        <v>#REF!</v>
      </c>
      <c r="BE75" s="10" t="e">
        <f>'Fertilizer &amp; Pesticide demand'!#REF!</f>
        <v>#REF!</v>
      </c>
      <c r="BF75" s="10" t="e">
        <f>'Fertilizer &amp; Pesticide demand'!#REF!</f>
        <v>#REF!</v>
      </c>
      <c r="BG75" s="10" t="str">
        <f>'Fertilizer &amp; Pesticide demand'!K75</f>
        <v>No</v>
      </c>
      <c r="BH75" s="10">
        <f>'Fertilizer &amp; Pesticide demand'!L75</f>
        <v>0</v>
      </c>
      <c r="BI75" s="10">
        <f>'Fertilizer &amp; Pesticide demand'!M75</f>
        <v>0</v>
      </c>
      <c r="BJ75" s="10" t="str">
        <f>'Fertilizer &amp; Pesticide demand'!N75</f>
        <v>Yes</v>
      </c>
      <c r="BK75" s="10">
        <f>'Fertilizer &amp; Pesticide demand'!O75</f>
        <v>1</v>
      </c>
      <c r="BL75" s="10" t="str">
        <f>'Fertilizer &amp; Pesticide demand'!P75</f>
        <v>Packet</v>
      </c>
    </row>
    <row r="76" spans="1:64" ht="20.100000000000001" customHeight="1" x14ac:dyDescent="0.25">
      <c r="A76" s="6">
        <f t="shared" si="1"/>
        <v>74</v>
      </c>
      <c r="B76" s="6" t="s">
        <v>17</v>
      </c>
      <c r="C76" s="28" t="s">
        <v>59</v>
      </c>
      <c r="D76" s="4"/>
      <c r="E76" s="6" t="s">
        <v>31</v>
      </c>
      <c r="F76" s="28" t="s">
        <v>12</v>
      </c>
      <c r="G76" s="6" t="s">
        <v>243</v>
      </c>
      <c r="H76" s="6" t="s">
        <v>228</v>
      </c>
      <c r="I76" s="6" t="s">
        <v>29</v>
      </c>
      <c r="J76" s="10" t="s">
        <v>173</v>
      </c>
      <c r="K76" s="6">
        <v>200</v>
      </c>
      <c r="L76" s="6" t="s">
        <v>29</v>
      </c>
      <c r="M76" s="6" t="s">
        <v>180</v>
      </c>
      <c r="N76" s="6">
        <v>1</v>
      </c>
      <c r="O76" s="6" t="s">
        <v>191</v>
      </c>
      <c r="P76" s="6" t="s">
        <v>31</v>
      </c>
      <c r="Q76" s="6" t="s">
        <v>229</v>
      </c>
      <c r="R76" s="6" t="s">
        <v>229</v>
      </c>
      <c r="S76" s="6" t="s">
        <v>229</v>
      </c>
      <c r="T76" s="6" t="s">
        <v>31</v>
      </c>
      <c r="U76" s="6" t="s">
        <v>229</v>
      </c>
      <c r="V76" s="6" t="s">
        <v>229</v>
      </c>
      <c r="W76" s="6" t="s">
        <v>31</v>
      </c>
      <c r="X76" s="6" t="s">
        <v>229</v>
      </c>
      <c r="Y76" s="6" t="s">
        <v>229</v>
      </c>
      <c r="Z76" s="6" t="s">
        <v>31</v>
      </c>
      <c r="AA76" s="6" t="s">
        <v>229</v>
      </c>
      <c r="AB76" s="6" t="s">
        <v>229</v>
      </c>
      <c r="AC76" s="6" t="s">
        <v>31</v>
      </c>
      <c r="AD76" s="6" t="s">
        <v>229</v>
      </c>
      <c r="AE76" s="6" t="s">
        <v>229</v>
      </c>
      <c r="AF76" s="6" t="s">
        <v>31</v>
      </c>
      <c r="AG76" s="6" t="s">
        <v>229</v>
      </c>
      <c r="AH76" s="6" t="s">
        <v>229</v>
      </c>
      <c r="AI76" s="6" t="s">
        <v>31</v>
      </c>
      <c r="AJ76" s="6" t="s">
        <v>229</v>
      </c>
      <c r="AK76" s="6" t="s">
        <v>229</v>
      </c>
      <c r="AL76" s="4"/>
      <c r="AM76" s="7"/>
      <c r="AN76" s="7"/>
      <c r="AO76" s="4"/>
      <c r="AP76" s="7"/>
      <c r="AQ76" s="7"/>
      <c r="AR76" s="4"/>
      <c r="AS76" s="7"/>
      <c r="AT76" s="7"/>
      <c r="AU76" s="6">
        <v>1</v>
      </c>
      <c r="AV76" s="6" t="s">
        <v>230</v>
      </c>
      <c r="AW76" s="6">
        <v>16</v>
      </c>
      <c r="AX76" s="6" t="s">
        <v>231</v>
      </c>
      <c r="AY76" s="6">
        <v>4</v>
      </c>
      <c r="AZ76" s="6" t="s">
        <v>231</v>
      </c>
      <c r="BA76" s="23" t="str">
        <f>'Fertilizer &amp; Pesticide demand'!H76</f>
        <v>Yes</v>
      </c>
      <c r="BB76" s="23">
        <f>'Fertilizer &amp; Pesticide demand'!I76</f>
        <v>1</v>
      </c>
      <c r="BC76" s="23" t="str">
        <f>'Fertilizer &amp; Pesticide demand'!J76</f>
        <v>Packets</v>
      </c>
      <c r="BD76" s="10" t="e">
        <f>'Fertilizer &amp; Pesticide demand'!#REF!</f>
        <v>#REF!</v>
      </c>
      <c r="BE76" s="10" t="e">
        <f>'Fertilizer &amp; Pesticide demand'!#REF!</f>
        <v>#REF!</v>
      </c>
      <c r="BF76" s="10" t="e">
        <f>'Fertilizer &amp; Pesticide demand'!#REF!</f>
        <v>#REF!</v>
      </c>
      <c r="BG76" s="10" t="str">
        <f>'Fertilizer &amp; Pesticide demand'!K76</f>
        <v>No</v>
      </c>
      <c r="BH76" s="10">
        <f>'Fertilizer &amp; Pesticide demand'!L76</f>
        <v>0</v>
      </c>
      <c r="BI76" s="10">
        <f>'Fertilizer &amp; Pesticide demand'!M76</f>
        <v>0</v>
      </c>
      <c r="BJ76" s="10" t="str">
        <f>'Fertilizer &amp; Pesticide demand'!N76</f>
        <v>Yes</v>
      </c>
      <c r="BK76" s="10">
        <f>'Fertilizer &amp; Pesticide demand'!O76</f>
        <v>1</v>
      </c>
      <c r="BL76" s="10" t="str">
        <f>'Fertilizer &amp; Pesticide demand'!P76</f>
        <v>Packet</v>
      </c>
    </row>
    <row r="77" spans="1:64" ht="20.100000000000001" customHeight="1" x14ac:dyDescent="0.25">
      <c r="A77" s="6">
        <f t="shared" si="1"/>
        <v>75</v>
      </c>
      <c r="B77" s="6" t="s">
        <v>17</v>
      </c>
      <c r="C77" s="28" t="s">
        <v>73</v>
      </c>
      <c r="D77" s="4"/>
      <c r="E77" s="6" t="s">
        <v>31</v>
      </c>
      <c r="F77" s="28" t="s">
        <v>12</v>
      </c>
      <c r="G77" s="6" t="s">
        <v>243</v>
      </c>
      <c r="H77" s="6" t="s">
        <v>228</v>
      </c>
      <c r="I77" s="6" t="s">
        <v>29</v>
      </c>
      <c r="J77" s="10" t="s">
        <v>173</v>
      </c>
      <c r="K77" s="6">
        <v>200</v>
      </c>
      <c r="L77" s="6" t="s">
        <v>29</v>
      </c>
      <c r="M77" s="6" t="s">
        <v>180</v>
      </c>
      <c r="N77" s="6">
        <v>1</v>
      </c>
      <c r="O77" s="6" t="s">
        <v>191</v>
      </c>
      <c r="P77" s="6" t="s">
        <v>31</v>
      </c>
      <c r="Q77" s="6" t="s">
        <v>229</v>
      </c>
      <c r="R77" s="6" t="s">
        <v>229</v>
      </c>
      <c r="S77" s="6" t="s">
        <v>229</v>
      </c>
      <c r="T77" s="6" t="s">
        <v>31</v>
      </c>
      <c r="U77" s="6" t="s">
        <v>229</v>
      </c>
      <c r="V77" s="6" t="s">
        <v>229</v>
      </c>
      <c r="W77" s="6" t="s">
        <v>31</v>
      </c>
      <c r="X77" s="6" t="s">
        <v>229</v>
      </c>
      <c r="Y77" s="6" t="s">
        <v>229</v>
      </c>
      <c r="Z77" s="6" t="s">
        <v>31</v>
      </c>
      <c r="AA77" s="6" t="s">
        <v>229</v>
      </c>
      <c r="AB77" s="6" t="s">
        <v>229</v>
      </c>
      <c r="AC77" s="6" t="s">
        <v>31</v>
      </c>
      <c r="AD77" s="6" t="s">
        <v>229</v>
      </c>
      <c r="AE77" s="6" t="s">
        <v>229</v>
      </c>
      <c r="AF77" s="6" t="s">
        <v>31</v>
      </c>
      <c r="AG77" s="6" t="s">
        <v>229</v>
      </c>
      <c r="AH77" s="6" t="s">
        <v>229</v>
      </c>
      <c r="AI77" s="6" t="s">
        <v>31</v>
      </c>
      <c r="AJ77" s="6" t="s">
        <v>229</v>
      </c>
      <c r="AK77" s="6" t="s">
        <v>229</v>
      </c>
      <c r="AL77" s="4"/>
      <c r="AM77" s="7"/>
      <c r="AN77" s="7"/>
      <c r="AO77" s="4"/>
      <c r="AP77" s="7"/>
      <c r="AQ77" s="7"/>
      <c r="AR77" s="4"/>
      <c r="AS77" s="7"/>
      <c r="AT77" s="7"/>
      <c r="AU77" s="6">
        <v>1</v>
      </c>
      <c r="AV77" s="6" t="s">
        <v>230</v>
      </c>
      <c r="AW77" s="6">
        <v>16</v>
      </c>
      <c r="AX77" s="6" t="s">
        <v>231</v>
      </c>
      <c r="AY77" s="6">
        <v>4</v>
      </c>
      <c r="AZ77" s="6" t="s">
        <v>231</v>
      </c>
      <c r="BA77" s="23" t="str">
        <f>'Fertilizer &amp; Pesticide demand'!H77</f>
        <v>Yes</v>
      </c>
      <c r="BB77" s="23">
        <f>'Fertilizer &amp; Pesticide demand'!I77</f>
        <v>1</v>
      </c>
      <c r="BC77" s="23" t="str">
        <f>'Fertilizer &amp; Pesticide demand'!J77</f>
        <v>Packets</v>
      </c>
      <c r="BD77" s="10" t="e">
        <f>'Fertilizer &amp; Pesticide demand'!#REF!</f>
        <v>#REF!</v>
      </c>
      <c r="BE77" s="10" t="e">
        <f>'Fertilizer &amp; Pesticide demand'!#REF!</f>
        <v>#REF!</v>
      </c>
      <c r="BF77" s="10" t="e">
        <f>'Fertilizer &amp; Pesticide demand'!#REF!</f>
        <v>#REF!</v>
      </c>
      <c r="BG77" s="10" t="str">
        <f>'Fertilizer &amp; Pesticide demand'!K77</f>
        <v>No</v>
      </c>
      <c r="BH77" s="10">
        <f>'Fertilizer &amp; Pesticide demand'!L77</f>
        <v>0</v>
      </c>
      <c r="BI77" s="10">
        <f>'Fertilizer &amp; Pesticide demand'!M77</f>
        <v>0</v>
      </c>
      <c r="BJ77" s="10" t="str">
        <f>'Fertilizer &amp; Pesticide demand'!N77</f>
        <v>Yes</v>
      </c>
      <c r="BK77" s="10">
        <f>'Fertilizer &amp; Pesticide demand'!O77</f>
        <v>1</v>
      </c>
      <c r="BL77" s="10" t="str">
        <f>'Fertilizer &amp; Pesticide demand'!P77</f>
        <v>Packet</v>
      </c>
    </row>
    <row r="78" spans="1:64" ht="20.100000000000001" customHeight="1" x14ac:dyDescent="0.25">
      <c r="A78" s="6">
        <f t="shared" si="1"/>
        <v>76</v>
      </c>
      <c r="B78" s="6" t="s">
        <v>17</v>
      </c>
      <c r="C78" s="28" t="s">
        <v>80</v>
      </c>
      <c r="D78" s="4"/>
      <c r="E78" s="6" t="s">
        <v>31</v>
      </c>
      <c r="F78" s="28" t="s">
        <v>12</v>
      </c>
      <c r="G78" s="6" t="s">
        <v>243</v>
      </c>
      <c r="H78" s="6" t="s">
        <v>228</v>
      </c>
      <c r="I78" s="6" t="s">
        <v>29</v>
      </c>
      <c r="J78" s="10" t="s">
        <v>173</v>
      </c>
      <c r="K78" s="6">
        <v>200</v>
      </c>
      <c r="L78" s="6" t="s">
        <v>29</v>
      </c>
      <c r="M78" s="6" t="s">
        <v>180</v>
      </c>
      <c r="N78" s="6">
        <v>1</v>
      </c>
      <c r="O78" s="6" t="s">
        <v>191</v>
      </c>
      <c r="P78" s="6" t="s">
        <v>31</v>
      </c>
      <c r="Q78" s="6" t="s">
        <v>229</v>
      </c>
      <c r="R78" s="6" t="s">
        <v>229</v>
      </c>
      <c r="S78" s="6" t="s">
        <v>229</v>
      </c>
      <c r="T78" s="6" t="s">
        <v>31</v>
      </c>
      <c r="U78" s="6" t="s">
        <v>229</v>
      </c>
      <c r="V78" s="6" t="s">
        <v>229</v>
      </c>
      <c r="W78" s="6" t="s">
        <v>31</v>
      </c>
      <c r="X78" s="6" t="s">
        <v>229</v>
      </c>
      <c r="Y78" s="6" t="s">
        <v>229</v>
      </c>
      <c r="Z78" s="6" t="s">
        <v>31</v>
      </c>
      <c r="AA78" s="6" t="s">
        <v>229</v>
      </c>
      <c r="AB78" s="6" t="s">
        <v>229</v>
      </c>
      <c r="AC78" s="6" t="s">
        <v>31</v>
      </c>
      <c r="AD78" s="6" t="s">
        <v>229</v>
      </c>
      <c r="AE78" s="6" t="s">
        <v>229</v>
      </c>
      <c r="AF78" s="6" t="s">
        <v>31</v>
      </c>
      <c r="AG78" s="6" t="s">
        <v>229</v>
      </c>
      <c r="AH78" s="6" t="s">
        <v>229</v>
      </c>
      <c r="AI78" s="6" t="s">
        <v>31</v>
      </c>
      <c r="AJ78" s="6" t="s">
        <v>229</v>
      </c>
      <c r="AK78" s="6" t="s">
        <v>229</v>
      </c>
      <c r="AL78" s="4"/>
      <c r="AM78" s="7"/>
      <c r="AN78" s="7"/>
      <c r="AO78" s="4"/>
      <c r="AP78" s="7"/>
      <c r="AQ78" s="7"/>
      <c r="AR78" s="4"/>
      <c r="AS78" s="7"/>
      <c r="AT78" s="7"/>
      <c r="AU78" s="6">
        <v>1</v>
      </c>
      <c r="AV78" s="6" t="s">
        <v>230</v>
      </c>
      <c r="AW78" s="6">
        <v>16</v>
      </c>
      <c r="AX78" s="6" t="s">
        <v>231</v>
      </c>
      <c r="AY78" s="6">
        <v>4</v>
      </c>
      <c r="AZ78" s="6" t="s">
        <v>231</v>
      </c>
      <c r="BA78" s="23" t="str">
        <f>'Fertilizer &amp; Pesticide demand'!H78</f>
        <v>Yes</v>
      </c>
      <c r="BB78" s="23">
        <f>'Fertilizer &amp; Pesticide demand'!I78</f>
        <v>1</v>
      </c>
      <c r="BC78" s="23" t="str">
        <f>'Fertilizer &amp; Pesticide demand'!J78</f>
        <v>Packets</v>
      </c>
      <c r="BD78" s="10" t="e">
        <f>'Fertilizer &amp; Pesticide demand'!#REF!</f>
        <v>#REF!</v>
      </c>
      <c r="BE78" s="10" t="e">
        <f>'Fertilizer &amp; Pesticide demand'!#REF!</f>
        <v>#REF!</v>
      </c>
      <c r="BF78" s="10" t="e">
        <f>'Fertilizer &amp; Pesticide demand'!#REF!</f>
        <v>#REF!</v>
      </c>
      <c r="BG78" s="10" t="str">
        <f>'Fertilizer &amp; Pesticide demand'!K78</f>
        <v>No</v>
      </c>
      <c r="BH78" s="10">
        <f>'Fertilizer &amp; Pesticide demand'!L78</f>
        <v>0</v>
      </c>
      <c r="BI78" s="10">
        <f>'Fertilizer &amp; Pesticide demand'!M78</f>
        <v>0</v>
      </c>
      <c r="BJ78" s="10" t="str">
        <f>'Fertilizer &amp; Pesticide demand'!N78</f>
        <v>Yes</v>
      </c>
      <c r="BK78" s="10">
        <f>'Fertilizer &amp; Pesticide demand'!O78</f>
        <v>1</v>
      </c>
      <c r="BL78" s="10" t="str">
        <f>'Fertilizer &amp; Pesticide demand'!P78</f>
        <v>Packet</v>
      </c>
    </row>
    <row r="79" spans="1:64" ht="20.100000000000001" customHeight="1" x14ac:dyDescent="0.25">
      <c r="A79" s="6">
        <f t="shared" si="1"/>
        <v>77</v>
      </c>
      <c r="B79" s="6" t="s">
        <v>17</v>
      </c>
      <c r="C79" s="28" t="s">
        <v>86</v>
      </c>
      <c r="D79" s="4"/>
      <c r="E79" s="6" t="s">
        <v>31</v>
      </c>
      <c r="F79" s="28" t="s">
        <v>12</v>
      </c>
      <c r="G79" s="6" t="s">
        <v>243</v>
      </c>
      <c r="H79" s="6" t="s">
        <v>228</v>
      </c>
      <c r="I79" s="6" t="s">
        <v>29</v>
      </c>
      <c r="J79" s="10" t="s">
        <v>173</v>
      </c>
      <c r="K79" s="6">
        <v>200</v>
      </c>
      <c r="L79" s="6" t="s">
        <v>29</v>
      </c>
      <c r="M79" s="6" t="s">
        <v>180</v>
      </c>
      <c r="N79" s="6">
        <v>1</v>
      </c>
      <c r="O79" s="6" t="s">
        <v>191</v>
      </c>
      <c r="P79" s="6" t="s">
        <v>31</v>
      </c>
      <c r="Q79" s="6" t="s">
        <v>229</v>
      </c>
      <c r="R79" s="6" t="s">
        <v>229</v>
      </c>
      <c r="S79" s="6" t="s">
        <v>229</v>
      </c>
      <c r="T79" s="6" t="s">
        <v>31</v>
      </c>
      <c r="U79" s="6" t="s">
        <v>229</v>
      </c>
      <c r="V79" s="6" t="s">
        <v>229</v>
      </c>
      <c r="W79" s="6" t="s">
        <v>31</v>
      </c>
      <c r="X79" s="6" t="s">
        <v>229</v>
      </c>
      <c r="Y79" s="6" t="s">
        <v>229</v>
      </c>
      <c r="Z79" s="6" t="s">
        <v>31</v>
      </c>
      <c r="AA79" s="6" t="s">
        <v>229</v>
      </c>
      <c r="AB79" s="6" t="s">
        <v>229</v>
      </c>
      <c r="AC79" s="6" t="s">
        <v>31</v>
      </c>
      <c r="AD79" s="6" t="s">
        <v>229</v>
      </c>
      <c r="AE79" s="6" t="s">
        <v>229</v>
      </c>
      <c r="AF79" s="6" t="s">
        <v>31</v>
      </c>
      <c r="AG79" s="6" t="s">
        <v>229</v>
      </c>
      <c r="AH79" s="6" t="s">
        <v>229</v>
      </c>
      <c r="AI79" s="6" t="s">
        <v>31</v>
      </c>
      <c r="AJ79" s="6" t="s">
        <v>229</v>
      </c>
      <c r="AK79" s="6" t="s">
        <v>229</v>
      </c>
      <c r="AL79" s="4"/>
      <c r="AM79" s="7"/>
      <c r="AN79" s="7"/>
      <c r="AO79" s="4"/>
      <c r="AP79" s="7"/>
      <c r="AQ79" s="7"/>
      <c r="AR79" s="4"/>
      <c r="AS79" s="7"/>
      <c r="AT79" s="7"/>
      <c r="AU79" s="6">
        <v>1</v>
      </c>
      <c r="AV79" s="6" t="s">
        <v>230</v>
      </c>
      <c r="AW79" s="6">
        <v>16</v>
      </c>
      <c r="AX79" s="6" t="s">
        <v>231</v>
      </c>
      <c r="AY79" s="6">
        <v>4</v>
      </c>
      <c r="AZ79" s="6" t="s">
        <v>231</v>
      </c>
      <c r="BA79" s="23" t="str">
        <f>'Fertilizer &amp; Pesticide demand'!H79</f>
        <v>Yes</v>
      </c>
      <c r="BB79" s="23">
        <f>'Fertilizer &amp; Pesticide demand'!I79</f>
        <v>1</v>
      </c>
      <c r="BC79" s="23" t="str">
        <f>'Fertilizer &amp; Pesticide demand'!J79</f>
        <v>Packets</v>
      </c>
      <c r="BD79" s="10" t="e">
        <f>'Fertilizer &amp; Pesticide demand'!#REF!</f>
        <v>#REF!</v>
      </c>
      <c r="BE79" s="10" t="e">
        <f>'Fertilizer &amp; Pesticide demand'!#REF!</f>
        <v>#REF!</v>
      </c>
      <c r="BF79" s="10" t="e">
        <f>'Fertilizer &amp; Pesticide demand'!#REF!</f>
        <v>#REF!</v>
      </c>
      <c r="BG79" s="10" t="str">
        <f>'Fertilizer &amp; Pesticide demand'!K79</f>
        <v>No</v>
      </c>
      <c r="BH79" s="10">
        <f>'Fertilizer &amp; Pesticide demand'!L79</f>
        <v>0</v>
      </c>
      <c r="BI79" s="10">
        <f>'Fertilizer &amp; Pesticide demand'!M79</f>
        <v>0</v>
      </c>
      <c r="BJ79" s="10" t="str">
        <f>'Fertilizer &amp; Pesticide demand'!N79</f>
        <v>Yes</v>
      </c>
      <c r="BK79" s="10">
        <f>'Fertilizer &amp; Pesticide demand'!O79</f>
        <v>1</v>
      </c>
      <c r="BL79" s="10" t="str">
        <f>'Fertilizer &amp; Pesticide demand'!P79</f>
        <v>Packet</v>
      </c>
    </row>
    <row r="80" spans="1:64" ht="20.100000000000001" customHeight="1" x14ac:dyDescent="0.25">
      <c r="A80" s="6">
        <f t="shared" si="1"/>
        <v>78</v>
      </c>
      <c r="B80" s="6" t="s">
        <v>17</v>
      </c>
      <c r="C80" s="28" t="s">
        <v>87</v>
      </c>
      <c r="D80" s="4"/>
      <c r="E80" s="6" t="s">
        <v>31</v>
      </c>
      <c r="F80" s="28" t="s">
        <v>12</v>
      </c>
      <c r="G80" s="6" t="s">
        <v>243</v>
      </c>
      <c r="H80" s="6" t="s">
        <v>228</v>
      </c>
      <c r="I80" s="6" t="s">
        <v>29</v>
      </c>
      <c r="J80" s="10" t="s">
        <v>173</v>
      </c>
      <c r="K80" s="6">
        <v>200</v>
      </c>
      <c r="L80" s="6" t="s">
        <v>29</v>
      </c>
      <c r="M80" s="6" t="s">
        <v>180</v>
      </c>
      <c r="N80" s="6">
        <v>1</v>
      </c>
      <c r="O80" s="6" t="s">
        <v>191</v>
      </c>
      <c r="P80" s="6" t="s">
        <v>31</v>
      </c>
      <c r="Q80" s="6" t="s">
        <v>229</v>
      </c>
      <c r="R80" s="6" t="s">
        <v>229</v>
      </c>
      <c r="S80" s="6" t="s">
        <v>229</v>
      </c>
      <c r="T80" s="6" t="s">
        <v>31</v>
      </c>
      <c r="U80" s="6" t="s">
        <v>229</v>
      </c>
      <c r="V80" s="6" t="s">
        <v>229</v>
      </c>
      <c r="W80" s="6" t="s">
        <v>31</v>
      </c>
      <c r="X80" s="6" t="s">
        <v>229</v>
      </c>
      <c r="Y80" s="6" t="s">
        <v>229</v>
      </c>
      <c r="Z80" s="6" t="s">
        <v>31</v>
      </c>
      <c r="AA80" s="6" t="s">
        <v>229</v>
      </c>
      <c r="AB80" s="6" t="s">
        <v>229</v>
      </c>
      <c r="AC80" s="6" t="s">
        <v>31</v>
      </c>
      <c r="AD80" s="6" t="s">
        <v>229</v>
      </c>
      <c r="AE80" s="6" t="s">
        <v>229</v>
      </c>
      <c r="AF80" s="6" t="s">
        <v>31</v>
      </c>
      <c r="AG80" s="6" t="s">
        <v>229</v>
      </c>
      <c r="AH80" s="6" t="s">
        <v>229</v>
      </c>
      <c r="AI80" s="6" t="s">
        <v>31</v>
      </c>
      <c r="AJ80" s="6" t="s">
        <v>229</v>
      </c>
      <c r="AK80" s="6" t="s">
        <v>229</v>
      </c>
      <c r="AL80" s="4"/>
      <c r="AM80" s="7"/>
      <c r="AN80" s="7"/>
      <c r="AO80" s="4"/>
      <c r="AP80" s="7"/>
      <c r="AQ80" s="7"/>
      <c r="AR80" s="4"/>
      <c r="AS80" s="7"/>
      <c r="AT80" s="7"/>
      <c r="AU80" s="6">
        <v>1</v>
      </c>
      <c r="AV80" s="6" t="s">
        <v>230</v>
      </c>
      <c r="AW80" s="6">
        <v>16</v>
      </c>
      <c r="AX80" s="6" t="s">
        <v>231</v>
      </c>
      <c r="AY80" s="6">
        <v>4</v>
      </c>
      <c r="AZ80" s="6" t="s">
        <v>231</v>
      </c>
      <c r="BA80" s="23" t="str">
        <f>'Fertilizer &amp; Pesticide demand'!H80</f>
        <v>Yes</v>
      </c>
      <c r="BB80" s="23">
        <f>'Fertilizer &amp; Pesticide demand'!I80</f>
        <v>1</v>
      </c>
      <c r="BC80" s="23" t="str">
        <f>'Fertilizer &amp; Pesticide demand'!J80</f>
        <v>Packets</v>
      </c>
      <c r="BD80" s="10" t="e">
        <f>'Fertilizer &amp; Pesticide demand'!#REF!</f>
        <v>#REF!</v>
      </c>
      <c r="BE80" s="10" t="e">
        <f>'Fertilizer &amp; Pesticide demand'!#REF!</f>
        <v>#REF!</v>
      </c>
      <c r="BF80" s="10" t="e">
        <f>'Fertilizer &amp; Pesticide demand'!#REF!</f>
        <v>#REF!</v>
      </c>
      <c r="BG80" s="10" t="str">
        <f>'Fertilizer &amp; Pesticide demand'!K80</f>
        <v>No</v>
      </c>
      <c r="BH80" s="10">
        <f>'Fertilizer &amp; Pesticide demand'!L80</f>
        <v>0</v>
      </c>
      <c r="BI80" s="10">
        <f>'Fertilizer &amp; Pesticide demand'!M80</f>
        <v>0</v>
      </c>
      <c r="BJ80" s="10" t="str">
        <f>'Fertilizer &amp; Pesticide demand'!N80</f>
        <v>Yes</v>
      </c>
      <c r="BK80" s="10">
        <f>'Fertilizer &amp; Pesticide demand'!O80</f>
        <v>1</v>
      </c>
      <c r="BL80" s="10" t="str">
        <f>'Fertilizer &amp; Pesticide demand'!P80</f>
        <v>Packet</v>
      </c>
    </row>
    <row r="81" spans="1:64" ht="20.100000000000001" customHeight="1" x14ac:dyDescent="0.25">
      <c r="A81" s="6">
        <f t="shared" si="1"/>
        <v>79</v>
      </c>
      <c r="B81" s="6" t="s">
        <v>17</v>
      </c>
      <c r="C81" s="28" t="s">
        <v>90</v>
      </c>
      <c r="D81" s="4"/>
      <c r="E81" s="6" t="s">
        <v>31</v>
      </c>
      <c r="F81" s="28" t="s">
        <v>12</v>
      </c>
      <c r="G81" s="6" t="s">
        <v>243</v>
      </c>
      <c r="H81" s="6" t="s">
        <v>228</v>
      </c>
      <c r="I81" s="6" t="s">
        <v>29</v>
      </c>
      <c r="J81" s="10" t="s">
        <v>173</v>
      </c>
      <c r="K81" s="6">
        <v>200</v>
      </c>
      <c r="L81" s="6" t="s">
        <v>29</v>
      </c>
      <c r="M81" s="6" t="s">
        <v>180</v>
      </c>
      <c r="N81" s="6">
        <v>1</v>
      </c>
      <c r="O81" s="6" t="s">
        <v>191</v>
      </c>
      <c r="P81" s="6" t="s">
        <v>31</v>
      </c>
      <c r="Q81" s="6" t="s">
        <v>229</v>
      </c>
      <c r="R81" s="6" t="s">
        <v>229</v>
      </c>
      <c r="S81" s="6" t="s">
        <v>229</v>
      </c>
      <c r="T81" s="6" t="s">
        <v>31</v>
      </c>
      <c r="U81" s="6" t="s">
        <v>229</v>
      </c>
      <c r="V81" s="6" t="s">
        <v>229</v>
      </c>
      <c r="W81" s="6" t="s">
        <v>31</v>
      </c>
      <c r="X81" s="6" t="s">
        <v>229</v>
      </c>
      <c r="Y81" s="6" t="s">
        <v>229</v>
      </c>
      <c r="Z81" s="6" t="s">
        <v>31</v>
      </c>
      <c r="AA81" s="6" t="s">
        <v>229</v>
      </c>
      <c r="AB81" s="6" t="s">
        <v>229</v>
      </c>
      <c r="AC81" s="6" t="s">
        <v>31</v>
      </c>
      <c r="AD81" s="6" t="s">
        <v>229</v>
      </c>
      <c r="AE81" s="6" t="s">
        <v>229</v>
      </c>
      <c r="AF81" s="6" t="s">
        <v>31</v>
      </c>
      <c r="AG81" s="6" t="s">
        <v>229</v>
      </c>
      <c r="AH81" s="6" t="s">
        <v>229</v>
      </c>
      <c r="AI81" s="6" t="s">
        <v>31</v>
      </c>
      <c r="AJ81" s="6" t="s">
        <v>229</v>
      </c>
      <c r="AK81" s="6" t="s">
        <v>229</v>
      </c>
      <c r="AL81" s="4"/>
      <c r="AM81" s="7"/>
      <c r="AN81" s="7"/>
      <c r="AO81" s="4"/>
      <c r="AP81" s="7"/>
      <c r="AQ81" s="7"/>
      <c r="AR81" s="4"/>
      <c r="AS81" s="7"/>
      <c r="AT81" s="7"/>
      <c r="AU81" s="6">
        <v>1</v>
      </c>
      <c r="AV81" s="6" t="s">
        <v>230</v>
      </c>
      <c r="AW81" s="6">
        <v>16</v>
      </c>
      <c r="AX81" s="6" t="s">
        <v>231</v>
      </c>
      <c r="AY81" s="6">
        <v>4</v>
      </c>
      <c r="AZ81" s="6" t="s">
        <v>231</v>
      </c>
      <c r="BA81" s="23" t="str">
        <f>'Fertilizer &amp; Pesticide demand'!H81</f>
        <v>Yes</v>
      </c>
      <c r="BB81" s="23">
        <f>'Fertilizer &amp; Pesticide demand'!I81</f>
        <v>1</v>
      </c>
      <c r="BC81" s="23" t="str">
        <f>'Fertilizer &amp; Pesticide demand'!J81</f>
        <v>Packets</v>
      </c>
      <c r="BD81" s="10" t="e">
        <f>'Fertilizer &amp; Pesticide demand'!#REF!</f>
        <v>#REF!</v>
      </c>
      <c r="BE81" s="10" t="e">
        <f>'Fertilizer &amp; Pesticide demand'!#REF!</f>
        <v>#REF!</v>
      </c>
      <c r="BF81" s="10" t="e">
        <f>'Fertilizer &amp; Pesticide demand'!#REF!</f>
        <v>#REF!</v>
      </c>
      <c r="BG81" s="10" t="str">
        <f>'Fertilizer &amp; Pesticide demand'!K81</f>
        <v>No</v>
      </c>
      <c r="BH81" s="10">
        <f>'Fertilizer &amp; Pesticide demand'!L81</f>
        <v>0</v>
      </c>
      <c r="BI81" s="10">
        <f>'Fertilizer &amp; Pesticide demand'!M81</f>
        <v>0</v>
      </c>
      <c r="BJ81" s="10" t="str">
        <f>'Fertilizer &amp; Pesticide demand'!N81</f>
        <v>Yes</v>
      </c>
      <c r="BK81" s="10">
        <f>'Fertilizer &amp; Pesticide demand'!O81</f>
        <v>1</v>
      </c>
      <c r="BL81" s="10" t="str">
        <f>'Fertilizer &amp; Pesticide demand'!P81</f>
        <v>Packet</v>
      </c>
    </row>
    <row r="82" spans="1:64" ht="20.100000000000001" customHeight="1" x14ac:dyDescent="0.25">
      <c r="A82" s="6">
        <f t="shared" si="1"/>
        <v>80</v>
      </c>
      <c r="B82" s="6" t="s">
        <v>17</v>
      </c>
      <c r="C82" s="28" t="s">
        <v>96</v>
      </c>
      <c r="D82" s="4"/>
      <c r="E82" s="6" t="s">
        <v>31</v>
      </c>
      <c r="F82" s="28" t="s">
        <v>12</v>
      </c>
      <c r="G82" s="6" t="s">
        <v>243</v>
      </c>
      <c r="H82" s="6" t="s">
        <v>228</v>
      </c>
      <c r="I82" s="6" t="s">
        <v>29</v>
      </c>
      <c r="J82" s="10" t="s">
        <v>173</v>
      </c>
      <c r="K82" s="6">
        <v>200</v>
      </c>
      <c r="L82" s="6" t="s">
        <v>29</v>
      </c>
      <c r="M82" s="6" t="s">
        <v>180</v>
      </c>
      <c r="N82" s="6">
        <v>1</v>
      </c>
      <c r="O82" s="6" t="s">
        <v>191</v>
      </c>
      <c r="P82" s="6" t="s">
        <v>31</v>
      </c>
      <c r="Q82" s="6" t="s">
        <v>229</v>
      </c>
      <c r="R82" s="6" t="s">
        <v>229</v>
      </c>
      <c r="S82" s="6" t="s">
        <v>229</v>
      </c>
      <c r="T82" s="6" t="s">
        <v>31</v>
      </c>
      <c r="U82" s="6" t="s">
        <v>229</v>
      </c>
      <c r="V82" s="6" t="s">
        <v>229</v>
      </c>
      <c r="W82" s="6" t="s">
        <v>31</v>
      </c>
      <c r="X82" s="6" t="s">
        <v>229</v>
      </c>
      <c r="Y82" s="6" t="s">
        <v>229</v>
      </c>
      <c r="Z82" s="6" t="s">
        <v>31</v>
      </c>
      <c r="AA82" s="6" t="s">
        <v>229</v>
      </c>
      <c r="AB82" s="6" t="s">
        <v>229</v>
      </c>
      <c r="AC82" s="6" t="s">
        <v>31</v>
      </c>
      <c r="AD82" s="6" t="s">
        <v>229</v>
      </c>
      <c r="AE82" s="6" t="s">
        <v>229</v>
      </c>
      <c r="AF82" s="6" t="s">
        <v>31</v>
      </c>
      <c r="AG82" s="6" t="s">
        <v>229</v>
      </c>
      <c r="AH82" s="6" t="s">
        <v>229</v>
      </c>
      <c r="AI82" s="6" t="s">
        <v>31</v>
      </c>
      <c r="AJ82" s="6" t="s">
        <v>229</v>
      </c>
      <c r="AK82" s="6" t="s">
        <v>229</v>
      </c>
      <c r="AL82" s="4"/>
      <c r="AM82" s="7"/>
      <c r="AN82" s="7"/>
      <c r="AO82" s="4"/>
      <c r="AP82" s="7"/>
      <c r="AQ82" s="7"/>
      <c r="AR82" s="4"/>
      <c r="AS82" s="7"/>
      <c r="AT82" s="7"/>
      <c r="AU82" s="6">
        <v>1</v>
      </c>
      <c r="AV82" s="6" t="s">
        <v>230</v>
      </c>
      <c r="AW82" s="6">
        <v>16</v>
      </c>
      <c r="AX82" s="6" t="s">
        <v>231</v>
      </c>
      <c r="AY82" s="6">
        <v>4</v>
      </c>
      <c r="AZ82" s="6" t="s">
        <v>231</v>
      </c>
      <c r="BA82" s="23" t="str">
        <f>'Fertilizer &amp; Pesticide demand'!H82</f>
        <v>Yes</v>
      </c>
      <c r="BB82" s="23">
        <f>'Fertilizer &amp; Pesticide demand'!I82</f>
        <v>1</v>
      </c>
      <c r="BC82" s="23" t="str">
        <f>'Fertilizer &amp; Pesticide demand'!J82</f>
        <v>Packets</v>
      </c>
      <c r="BD82" s="10" t="e">
        <f>'Fertilizer &amp; Pesticide demand'!#REF!</f>
        <v>#REF!</v>
      </c>
      <c r="BE82" s="10" t="e">
        <f>'Fertilizer &amp; Pesticide demand'!#REF!</f>
        <v>#REF!</v>
      </c>
      <c r="BF82" s="10" t="e">
        <f>'Fertilizer &amp; Pesticide demand'!#REF!</f>
        <v>#REF!</v>
      </c>
      <c r="BG82" s="10" t="str">
        <f>'Fertilizer &amp; Pesticide demand'!K82</f>
        <v>No</v>
      </c>
      <c r="BH82" s="10">
        <f>'Fertilizer &amp; Pesticide demand'!L82</f>
        <v>0</v>
      </c>
      <c r="BI82" s="10">
        <f>'Fertilizer &amp; Pesticide demand'!M82</f>
        <v>0</v>
      </c>
      <c r="BJ82" s="10" t="str">
        <f>'Fertilizer &amp; Pesticide demand'!N82</f>
        <v>Yes</v>
      </c>
      <c r="BK82" s="10">
        <f>'Fertilizer &amp; Pesticide demand'!O82</f>
        <v>1</v>
      </c>
      <c r="BL82" s="10" t="str">
        <f>'Fertilizer &amp; Pesticide demand'!P82</f>
        <v>Packet</v>
      </c>
    </row>
    <row r="83" spans="1:64" ht="20.100000000000001" customHeight="1" x14ac:dyDescent="0.25">
      <c r="A83" s="6">
        <f t="shared" si="1"/>
        <v>81</v>
      </c>
      <c r="B83" s="6" t="s">
        <v>17</v>
      </c>
      <c r="C83" s="28" t="s">
        <v>99</v>
      </c>
      <c r="D83" s="4"/>
      <c r="E83" s="6" t="s">
        <v>31</v>
      </c>
      <c r="F83" s="28" t="s">
        <v>12</v>
      </c>
      <c r="G83" s="6" t="s">
        <v>243</v>
      </c>
      <c r="H83" s="6" t="s">
        <v>228</v>
      </c>
      <c r="I83" s="6" t="s">
        <v>29</v>
      </c>
      <c r="J83" s="10" t="s">
        <v>173</v>
      </c>
      <c r="K83" s="6">
        <v>200</v>
      </c>
      <c r="L83" s="6" t="s">
        <v>29</v>
      </c>
      <c r="M83" s="6" t="s">
        <v>180</v>
      </c>
      <c r="N83" s="6">
        <v>1</v>
      </c>
      <c r="O83" s="6" t="s">
        <v>191</v>
      </c>
      <c r="P83" s="6" t="s">
        <v>31</v>
      </c>
      <c r="Q83" s="6" t="s">
        <v>229</v>
      </c>
      <c r="R83" s="6" t="s">
        <v>229</v>
      </c>
      <c r="S83" s="6" t="s">
        <v>229</v>
      </c>
      <c r="T83" s="6" t="s">
        <v>31</v>
      </c>
      <c r="U83" s="6" t="s">
        <v>229</v>
      </c>
      <c r="V83" s="6" t="s">
        <v>229</v>
      </c>
      <c r="W83" s="6" t="s">
        <v>31</v>
      </c>
      <c r="X83" s="6" t="s">
        <v>229</v>
      </c>
      <c r="Y83" s="6" t="s">
        <v>229</v>
      </c>
      <c r="Z83" s="6" t="s">
        <v>31</v>
      </c>
      <c r="AA83" s="6" t="s">
        <v>229</v>
      </c>
      <c r="AB83" s="6" t="s">
        <v>229</v>
      </c>
      <c r="AC83" s="6" t="s">
        <v>31</v>
      </c>
      <c r="AD83" s="6" t="s">
        <v>229</v>
      </c>
      <c r="AE83" s="6" t="s">
        <v>229</v>
      </c>
      <c r="AF83" s="6" t="s">
        <v>31</v>
      </c>
      <c r="AG83" s="6" t="s">
        <v>229</v>
      </c>
      <c r="AH83" s="6" t="s">
        <v>229</v>
      </c>
      <c r="AI83" s="6" t="s">
        <v>31</v>
      </c>
      <c r="AJ83" s="6" t="s">
        <v>229</v>
      </c>
      <c r="AK83" s="6" t="s">
        <v>229</v>
      </c>
      <c r="AL83" s="4"/>
      <c r="AM83" s="7"/>
      <c r="AN83" s="7"/>
      <c r="AO83" s="4"/>
      <c r="AP83" s="7"/>
      <c r="AQ83" s="7"/>
      <c r="AR83" s="4"/>
      <c r="AS83" s="7"/>
      <c r="AT83" s="7"/>
      <c r="AU83" s="6">
        <v>1</v>
      </c>
      <c r="AV83" s="6" t="s">
        <v>230</v>
      </c>
      <c r="AW83" s="6">
        <v>16</v>
      </c>
      <c r="AX83" s="6" t="s">
        <v>231</v>
      </c>
      <c r="AY83" s="6">
        <v>4</v>
      </c>
      <c r="AZ83" s="6" t="s">
        <v>231</v>
      </c>
      <c r="BA83" s="23" t="str">
        <f>'Fertilizer &amp; Pesticide demand'!H83</f>
        <v>Yes</v>
      </c>
      <c r="BB83" s="23">
        <f>'Fertilizer &amp; Pesticide demand'!I83</f>
        <v>1</v>
      </c>
      <c r="BC83" s="23" t="str">
        <f>'Fertilizer &amp; Pesticide demand'!J83</f>
        <v>Packets</v>
      </c>
      <c r="BD83" s="10" t="e">
        <f>'Fertilizer &amp; Pesticide demand'!#REF!</f>
        <v>#REF!</v>
      </c>
      <c r="BE83" s="10" t="e">
        <f>'Fertilizer &amp; Pesticide demand'!#REF!</f>
        <v>#REF!</v>
      </c>
      <c r="BF83" s="10" t="e">
        <f>'Fertilizer &amp; Pesticide demand'!#REF!</f>
        <v>#REF!</v>
      </c>
      <c r="BG83" s="10" t="str">
        <f>'Fertilizer &amp; Pesticide demand'!K83</f>
        <v>No</v>
      </c>
      <c r="BH83" s="10">
        <f>'Fertilizer &amp; Pesticide demand'!L83</f>
        <v>0</v>
      </c>
      <c r="BI83" s="10">
        <f>'Fertilizer &amp; Pesticide demand'!M83</f>
        <v>0</v>
      </c>
      <c r="BJ83" s="10" t="str">
        <f>'Fertilizer &amp; Pesticide demand'!N83</f>
        <v>Yes</v>
      </c>
      <c r="BK83" s="10">
        <f>'Fertilizer &amp; Pesticide demand'!O83</f>
        <v>1</v>
      </c>
      <c r="BL83" s="10" t="str">
        <f>'Fertilizer &amp; Pesticide demand'!P83</f>
        <v>Packet</v>
      </c>
    </row>
    <row r="84" spans="1:64" ht="20.100000000000001" customHeight="1" x14ac:dyDescent="0.25">
      <c r="A84" s="6">
        <f t="shared" si="1"/>
        <v>82</v>
      </c>
      <c r="B84" s="6" t="s">
        <v>17</v>
      </c>
      <c r="C84" s="28" t="s">
        <v>112</v>
      </c>
      <c r="D84" s="4"/>
      <c r="E84" s="6" t="s">
        <v>31</v>
      </c>
      <c r="F84" s="28" t="s">
        <v>12</v>
      </c>
      <c r="G84" s="6" t="s">
        <v>243</v>
      </c>
      <c r="H84" s="6" t="s">
        <v>228</v>
      </c>
      <c r="I84" s="6" t="s">
        <v>29</v>
      </c>
      <c r="J84" s="10" t="s">
        <v>173</v>
      </c>
      <c r="K84" s="6">
        <v>200</v>
      </c>
      <c r="L84" s="6" t="s">
        <v>29</v>
      </c>
      <c r="M84" s="6" t="s">
        <v>180</v>
      </c>
      <c r="N84" s="6">
        <v>1</v>
      </c>
      <c r="O84" s="6" t="s">
        <v>191</v>
      </c>
      <c r="P84" s="6" t="s">
        <v>31</v>
      </c>
      <c r="Q84" s="6" t="s">
        <v>229</v>
      </c>
      <c r="R84" s="6" t="s">
        <v>229</v>
      </c>
      <c r="S84" s="6" t="s">
        <v>229</v>
      </c>
      <c r="T84" s="6" t="s">
        <v>31</v>
      </c>
      <c r="U84" s="6" t="s">
        <v>229</v>
      </c>
      <c r="V84" s="6" t="s">
        <v>229</v>
      </c>
      <c r="W84" s="6" t="s">
        <v>31</v>
      </c>
      <c r="X84" s="6" t="s">
        <v>229</v>
      </c>
      <c r="Y84" s="6" t="s">
        <v>229</v>
      </c>
      <c r="Z84" s="6" t="s">
        <v>31</v>
      </c>
      <c r="AA84" s="6" t="s">
        <v>229</v>
      </c>
      <c r="AB84" s="6" t="s">
        <v>229</v>
      </c>
      <c r="AC84" s="6" t="s">
        <v>31</v>
      </c>
      <c r="AD84" s="6" t="s">
        <v>229</v>
      </c>
      <c r="AE84" s="6" t="s">
        <v>229</v>
      </c>
      <c r="AF84" s="6" t="s">
        <v>31</v>
      </c>
      <c r="AG84" s="6" t="s">
        <v>229</v>
      </c>
      <c r="AH84" s="6" t="s">
        <v>229</v>
      </c>
      <c r="AI84" s="6" t="s">
        <v>31</v>
      </c>
      <c r="AJ84" s="6" t="s">
        <v>229</v>
      </c>
      <c r="AK84" s="6" t="s">
        <v>229</v>
      </c>
      <c r="AL84" s="4"/>
      <c r="AM84" s="7"/>
      <c r="AN84" s="7"/>
      <c r="AO84" s="4"/>
      <c r="AP84" s="7"/>
      <c r="AQ84" s="7"/>
      <c r="AR84" s="4"/>
      <c r="AS84" s="7"/>
      <c r="AT84" s="7"/>
      <c r="AU84" s="6">
        <v>1</v>
      </c>
      <c r="AV84" s="6" t="s">
        <v>230</v>
      </c>
      <c r="AW84" s="6">
        <v>16</v>
      </c>
      <c r="AX84" s="6" t="s">
        <v>231</v>
      </c>
      <c r="AY84" s="6">
        <v>4</v>
      </c>
      <c r="AZ84" s="6" t="s">
        <v>231</v>
      </c>
      <c r="BA84" s="23" t="str">
        <f>'Fertilizer &amp; Pesticide demand'!H84</f>
        <v>Yes</v>
      </c>
      <c r="BB84" s="23">
        <f>'Fertilizer &amp; Pesticide demand'!I84</f>
        <v>1</v>
      </c>
      <c r="BC84" s="23" t="str">
        <f>'Fertilizer &amp; Pesticide demand'!J84</f>
        <v>Packets</v>
      </c>
      <c r="BD84" s="10" t="e">
        <f>'Fertilizer &amp; Pesticide demand'!#REF!</f>
        <v>#REF!</v>
      </c>
      <c r="BE84" s="10" t="e">
        <f>'Fertilizer &amp; Pesticide demand'!#REF!</f>
        <v>#REF!</v>
      </c>
      <c r="BF84" s="10" t="e">
        <f>'Fertilizer &amp; Pesticide demand'!#REF!</f>
        <v>#REF!</v>
      </c>
      <c r="BG84" s="10" t="str">
        <f>'Fertilizer &amp; Pesticide demand'!K84</f>
        <v>No</v>
      </c>
      <c r="BH84" s="10">
        <f>'Fertilizer &amp; Pesticide demand'!L84</f>
        <v>0</v>
      </c>
      <c r="BI84" s="10">
        <f>'Fertilizer &amp; Pesticide demand'!M84</f>
        <v>0</v>
      </c>
      <c r="BJ84" s="10" t="str">
        <f>'Fertilizer &amp; Pesticide demand'!N84</f>
        <v>Yes</v>
      </c>
      <c r="BK84" s="10">
        <f>'Fertilizer &amp; Pesticide demand'!O84</f>
        <v>1</v>
      </c>
      <c r="BL84" s="10" t="str">
        <f>'Fertilizer &amp; Pesticide demand'!P84</f>
        <v>Packet</v>
      </c>
    </row>
    <row r="85" spans="1:64" ht="20.100000000000001" customHeight="1" x14ac:dyDescent="0.25">
      <c r="A85" s="6">
        <f t="shared" si="1"/>
        <v>83</v>
      </c>
      <c r="B85" s="6" t="s">
        <v>17</v>
      </c>
      <c r="C85" s="28" t="s">
        <v>113</v>
      </c>
      <c r="D85" s="4"/>
      <c r="E85" s="6" t="s">
        <v>31</v>
      </c>
      <c r="F85" s="28" t="s">
        <v>12</v>
      </c>
      <c r="G85" s="6" t="s">
        <v>243</v>
      </c>
      <c r="H85" s="6" t="s">
        <v>228</v>
      </c>
      <c r="I85" s="6" t="s">
        <v>29</v>
      </c>
      <c r="J85" s="10" t="s">
        <v>173</v>
      </c>
      <c r="K85" s="6">
        <v>200</v>
      </c>
      <c r="L85" s="6" t="s">
        <v>29</v>
      </c>
      <c r="M85" s="6" t="s">
        <v>180</v>
      </c>
      <c r="N85" s="6">
        <v>1</v>
      </c>
      <c r="O85" s="6" t="s">
        <v>191</v>
      </c>
      <c r="P85" s="6" t="s">
        <v>31</v>
      </c>
      <c r="Q85" s="6" t="s">
        <v>229</v>
      </c>
      <c r="R85" s="6" t="s">
        <v>229</v>
      </c>
      <c r="S85" s="6" t="s">
        <v>229</v>
      </c>
      <c r="T85" s="6" t="s">
        <v>31</v>
      </c>
      <c r="U85" s="6" t="s">
        <v>229</v>
      </c>
      <c r="V85" s="6" t="s">
        <v>229</v>
      </c>
      <c r="W85" s="6" t="s">
        <v>31</v>
      </c>
      <c r="X85" s="6" t="s">
        <v>229</v>
      </c>
      <c r="Y85" s="6" t="s">
        <v>229</v>
      </c>
      <c r="Z85" s="6" t="s">
        <v>31</v>
      </c>
      <c r="AA85" s="6" t="s">
        <v>229</v>
      </c>
      <c r="AB85" s="6" t="s">
        <v>229</v>
      </c>
      <c r="AC85" s="6" t="s">
        <v>31</v>
      </c>
      <c r="AD85" s="6" t="s">
        <v>229</v>
      </c>
      <c r="AE85" s="6" t="s">
        <v>229</v>
      </c>
      <c r="AF85" s="6" t="s">
        <v>31</v>
      </c>
      <c r="AG85" s="6" t="s">
        <v>229</v>
      </c>
      <c r="AH85" s="6" t="s">
        <v>229</v>
      </c>
      <c r="AI85" s="6" t="s">
        <v>31</v>
      </c>
      <c r="AJ85" s="6" t="s">
        <v>229</v>
      </c>
      <c r="AK85" s="6" t="s">
        <v>229</v>
      </c>
      <c r="AL85" s="4"/>
      <c r="AM85" s="7"/>
      <c r="AN85" s="7"/>
      <c r="AO85" s="4"/>
      <c r="AP85" s="7"/>
      <c r="AQ85" s="7"/>
      <c r="AR85" s="4"/>
      <c r="AS85" s="7"/>
      <c r="AT85" s="7"/>
      <c r="AU85" s="6">
        <v>1</v>
      </c>
      <c r="AV85" s="6" t="s">
        <v>230</v>
      </c>
      <c r="AW85" s="6">
        <v>16</v>
      </c>
      <c r="AX85" s="6" t="s">
        <v>231</v>
      </c>
      <c r="AY85" s="6">
        <v>4</v>
      </c>
      <c r="AZ85" s="6" t="s">
        <v>231</v>
      </c>
      <c r="BA85" s="23" t="str">
        <f>'Fertilizer &amp; Pesticide demand'!H85</f>
        <v>Yes</v>
      </c>
      <c r="BB85" s="23">
        <f>'Fertilizer &amp; Pesticide demand'!I85</f>
        <v>1</v>
      </c>
      <c r="BC85" s="23" t="str">
        <f>'Fertilizer &amp; Pesticide demand'!J85</f>
        <v>Packets</v>
      </c>
      <c r="BD85" s="10" t="e">
        <f>'Fertilizer &amp; Pesticide demand'!#REF!</f>
        <v>#REF!</v>
      </c>
      <c r="BE85" s="10" t="e">
        <f>'Fertilizer &amp; Pesticide demand'!#REF!</f>
        <v>#REF!</v>
      </c>
      <c r="BF85" s="10" t="e">
        <f>'Fertilizer &amp; Pesticide demand'!#REF!</f>
        <v>#REF!</v>
      </c>
      <c r="BG85" s="10" t="str">
        <f>'Fertilizer &amp; Pesticide demand'!K85</f>
        <v>No</v>
      </c>
      <c r="BH85" s="10">
        <f>'Fertilizer &amp; Pesticide demand'!L85</f>
        <v>0</v>
      </c>
      <c r="BI85" s="10">
        <f>'Fertilizer &amp; Pesticide demand'!M85</f>
        <v>0</v>
      </c>
      <c r="BJ85" s="10" t="str">
        <f>'Fertilizer &amp; Pesticide demand'!N85</f>
        <v>Yes</v>
      </c>
      <c r="BK85" s="10">
        <f>'Fertilizer &amp; Pesticide demand'!O85</f>
        <v>1</v>
      </c>
      <c r="BL85" s="10" t="str">
        <f>'Fertilizer &amp; Pesticide demand'!P85</f>
        <v>Packet</v>
      </c>
    </row>
    <row r="86" spans="1:64" ht="20.100000000000001" customHeight="1" x14ac:dyDescent="0.25">
      <c r="A86" s="6">
        <f t="shared" si="1"/>
        <v>84</v>
      </c>
      <c r="B86" s="6" t="s">
        <v>17</v>
      </c>
      <c r="C86" s="28" t="s">
        <v>115</v>
      </c>
      <c r="D86" s="4"/>
      <c r="E86" s="6" t="s">
        <v>31</v>
      </c>
      <c r="F86" s="28" t="s">
        <v>12</v>
      </c>
      <c r="G86" s="6" t="s">
        <v>243</v>
      </c>
      <c r="H86" s="6" t="s">
        <v>228</v>
      </c>
      <c r="I86" s="6" t="s">
        <v>29</v>
      </c>
      <c r="J86" s="10" t="s">
        <v>173</v>
      </c>
      <c r="K86" s="6">
        <v>200</v>
      </c>
      <c r="L86" s="6" t="s">
        <v>29</v>
      </c>
      <c r="M86" s="6" t="s">
        <v>180</v>
      </c>
      <c r="N86" s="6">
        <v>1</v>
      </c>
      <c r="O86" s="6" t="s">
        <v>191</v>
      </c>
      <c r="P86" s="6" t="s">
        <v>31</v>
      </c>
      <c r="Q86" s="6" t="s">
        <v>229</v>
      </c>
      <c r="R86" s="6" t="s">
        <v>229</v>
      </c>
      <c r="S86" s="6" t="s">
        <v>229</v>
      </c>
      <c r="T86" s="6" t="s">
        <v>31</v>
      </c>
      <c r="U86" s="6" t="s">
        <v>229</v>
      </c>
      <c r="V86" s="6" t="s">
        <v>229</v>
      </c>
      <c r="W86" s="6" t="s">
        <v>31</v>
      </c>
      <c r="X86" s="6" t="s">
        <v>229</v>
      </c>
      <c r="Y86" s="6" t="s">
        <v>229</v>
      </c>
      <c r="Z86" s="6" t="s">
        <v>31</v>
      </c>
      <c r="AA86" s="6" t="s">
        <v>229</v>
      </c>
      <c r="AB86" s="6" t="s">
        <v>229</v>
      </c>
      <c r="AC86" s="6" t="s">
        <v>31</v>
      </c>
      <c r="AD86" s="6" t="s">
        <v>229</v>
      </c>
      <c r="AE86" s="6" t="s">
        <v>229</v>
      </c>
      <c r="AF86" s="6" t="s">
        <v>31</v>
      </c>
      <c r="AG86" s="6" t="s">
        <v>229</v>
      </c>
      <c r="AH86" s="6" t="s">
        <v>229</v>
      </c>
      <c r="AI86" s="6" t="s">
        <v>31</v>
      </c>
      <c r="AJ86" s="6" t="s">
        <v>229</v>
      </c>
      <c r="AK86" s="6" t="s">
        <v>229</v>
      </c>
      <c r="AL86" s="4"/>
      <c r="AM86" s="7"/>
      <c r="AN86" s="7"/>
      <c r="AO86" s="4"/>
      <c r="AP86" s="7"/>
      <c r="AQ86" s="7"/>
      <c r="AR86" s="4"/>
      <c r="AS86" s="7"/>
      <c r="AT86" s="7"/>
      <c r="AU86" s="6">
        <v>1</v>
      </c>
      <c r="AV86" s="6" t="s">
        <v>230</v>
      </c>
      <c r="AW86" s="6">
        <v>16</v>
      </c>
      <c r="AX86" s="6" t="s">
        <v>231</v>
      </c>
      <c r="AY86" s="6">
        <v>4</v>
      </c>
      <c r="AZ86" s="6" t="s">
        <v>231</v>
      </c>
      <c r="BA86" s="23" t="str">
        <f>'Fertilizer &amp; Pesticide demand'!H86</f>
        <v>Yes</v>
      </c>
      <c r="BB86" s="23">
        <f>'Fertilizer &amp; Pesticide demand'!I86</f>
        <v>1</v>
      </c>
      <c r="BC86" s="23" t="str">
        <f>'Fertilizer &amp; Pesticide demand'!J86</f>
        <v>Packets</v>
      </c>
      <c r="BD86" s="10" t="e">
        <f>'Fertilizer &amp; Pesticide demand'!#REF!</f>
        <v>#REF!</v>
      </c>
      <c r="BE86" s="10" t="e">
        <f>'Fertilizer &amp; Pesticide demand'!#REF!</f>
        <v>#REF!</v>
      </c>
      <c r="BF86" s="10" t="e">
        <f>'Fertilizer &amp; Pesticide demand'!#REF!</f>
        <v>#REF!</v>
      </c>
      <c r="BG86" s="10" t="str">
        <f>'Fertilizer &amp; Pesticide demand'!K86</f>
        <v>No</v>
      </c>
      <c r="BH86" s="10">
        <f>'Fertilizer &amp; Pesticide demand'!L86</f>
        <v>0</v>
      </c>
      <c r="BI86" s="10">
        <f>'Fertilizer &amp; Pesticide demand'!M86</f>
        <v>0</v>
      </c>
      <c r="BJ86" s="10" t="str">
        <f>'Fertilizer &amp; Pesticide demand'!N86</f>
        <v>Yes</v>
      </c>
      <c r="BK86" s="10">
        <f>'Fertilizer &amp; Pesticide demand'!O86</f>
        <v>1</v>
      </c>
      <c r="BL86" s="10" t="str">
        <f>'Fertilizer &amp; Pesticide demand'!P86</f>
        <v>Packet</v>
      </c>
    </row>
    <row r="87" spans="1:64" ht="20.100000000000001" customHeight="1" x14ac:dyDescent="0.25">
      <c r="A87" s="6">
        <f t="shared" ref="A87:A102" si="2">A86+1</f>
        <v>85</v>
      </c>
      <c r="B87" s="6" t="s">
        <v>17</v>
      </c>
      <c r="C87" s="28" t="s">
        <v>123</v>
      </c>
      <c r="D87" s="4"/>
      <c r="E87" s="6" t="s">
        <v>31</v>
      </c>
      <c r="F87" s="28" t="s">
        <v>12</v>
      </c>
      <c r="G87" s="6" t="s">
        <v>243</v>
      </c>
      <c r="H87" s="6" t="s">
        <v>228</v>
      </c>
      <c r="I87" s="6" t="s">
        <v>29</v>
      </c>
      <c r="J87" s="10" t="s">
        <v>173</v>
      </c>
      <c r="K87" s="6">
        <v>200</v>
      </c>
      <c r="L87" s="6" t="s">
        <v>29</v>
      </c>
      <c r="M87" s="6" t="s">
        <v>180</v>
      </c>
      <c r="N87" s="6">
        <v>1</v>
      </c>
      <c r="O87" s="6" t="s">
        <v>191</v>
      </c>
      <c r="P87" s="6" t="s">
        <v>31</v>
      </c>
      <c r="Q87" s="6" t="s">
        <v>229</v>
      </c>
      <c r="R87" s="6" t="s">
        <v>229</v>
      </c>
      <c r="S87" s="6" t="s">
        <v>229</v>
      </c>
      <c r="T87" s="6" t="s">
        <v>31</v>
      </c>
      <c r="U87" s="6" t="s">
        <v>229</v>
      </c>
      <c r="V87" s="6" t="s">
        <v>229</v>
      </c>
      <c r="W87" s="6" t="s">
        <v>31</v>
      </c>
      <c r="X87" s="6" t="s">
        <v>229</v>
      </c>
      <c r="Y87" s="6" t="s">
        <v>229</v>
      </c>
      <c r="Z87" s="6" t="s">
        <v>31</v>
      </c>
      <c r="AA87" s="6" t="s">
        <v>229</v>
      </c>
      <c r="AB87" s="6" t="s">
        <v>229</v>
      </c>
      <c r="AC87" s="6" t="s">
        <v>31</v>
      </c>
      <c r="AD87" s="6" t="s">
        <v>229</v>
      </c>
      <c r="AE87" s="6" t="s">
        <v>229</v>
      </c>
      <c r="AF87" s="6" t="s">
        <v>31</v>
      </c>
      <c r="AG87" s="6" t="s">
        <v>229</v>
      </c>
      <c r="AH87" s="6" t="s">
        <v>229</v>
      </c>
      <c r="AI87" s="6" t="s">
        <v>31</v>
      </c>
      <c r="AJ87" s="6" t="s">
        <v>229</v>
      </c>
      <c r="AK87" s="6" t="s">
        <v>229</v>
      </c>
      <c r="AL87" s="4"/>
      <c r="AM87" s="7"/>
      <c r="AN87" s="7"/>
      <c r="AO87" s="4"/>
      <c r="AP87" s="7"/>
      <c r="AQ87" s="7"/>
      <c r="AR87" s="4"/>
      <c r="AS87" s="7"/>
      <c r="AT87" s="7"/>
      <c r="AU87" s="6">
        <v>1</v>
      </c>
      <c r="AV87" s="6" t="s">
        <v>230</v>
      </c>
      <c r="AW87" s="6">
        <v>16</v>
      </c>
      <c r="AX87" s="6" t="s">
        <v>231</v>
      </c>
      <c r="AY87" s="6">
        <v>4</v>
      </c>
      <c r="AZ87" s="6" t="s">
        <v>231</v>
      </c>
      <c r="BA87" s="23" t="str">
        <f>'Fertilizer &amp; Pesticide demand'!H87</f>
        <v>Yes</v>
      </c>
      <c r="BB87" s="23">
        <f>'Fertilizer &amp; Pesticide demand'!I87</f>
        <v>1</v>
      </c>
      <c r="BC87" s="23" t="str">
        <f>'Fertilizer &amp; Pesticide demand'!J87</f>
        <v>Packets</v>
      </c>
      <c r="BD87" s="10" t="e">
        <f>'Fertilizer &amp; Pesticide demand'!#REF!</f>
        <v>#REF!</v>
      </c>
      <c r="BE87" s="10" t="e">
        <f>'Fertilizer &amp; Pesticide demand'!#REF!</f>
        <v>#REF!</v>
      </c>
      <c r="BF87" s="10" t="e">
        <f>'Fertilizer &amp; Pesticide demand'!#REF!</f>
        <v>#REF!</v>
      </c>
      <c r="BG87" s="10" t="str">
        <f>'Fertilizer &amp; Pesticide demand'!K87</f>
        <v>No</v>
      </c>
      <c r="BH87" s="10">
        <f>'Fertilizer &amp; Pesticide demand'!L87</f>
        <v>0</v>
      </c>
      <c r="BI87" s="10">
        <f>'Fertilizer &amp; Pesticide demand'!M87</f>
        <v>0</v>
      </c>
      <c r="BJ87" s="10" t="str">
        <f>'Fertilizer &amp; Pesticide demand'!N87</f>
        <v>Yes</v>
      </c>
      <c r="BK87" s="10">
        <f>'Fertilizer &amp; Pesticide demand'!O87</f>
        <v>1</v>
      </c>
      <c r="BL87" s="10" t="str">
        <f>'Fertilizer &amp; Pesticide demand'!P87</f>
        <v>Packet</v>
      </c>
    </row>
    <row r="88" spans="1:64" ht="20.100000000000001" customHeight="1" x14ac:dyDescent="0.25">
      <c r="A88" s="6">
        <f t="shared" si="2"/>
        <v>86</v>
      </c>
      <c r="B88" s="7"/>
      <c r="C88" s="4"/>
      <c r="D88" s="4"/>
      <c r="E88" s="6"/>
      <c r="F88" s="7"/>
      <c r="G88" s="4"/>
      <c r="H88" s="12"/>
      <c r="I88" s="6"/>
      <c r="J88" s="4"/>
      <c r="K88" s="6"/>
      <c r="L88" s="4"/>
      <c r="M88" s="6"/>
      <c r="N88" s="4"/>
      <c r="O88" s="4"/>
      <c r="P88" s="4"/>
      <c r="Q88" s="7"/>
      <c r="R88" s="7"/>
      <c r="S88" s="7"/>
      <c r="T88" s="4"/>
      <c r="U88" s="7"/>
      <c r="V88" s="7"/>
      <c r="W88" s="4"/>
      <c r="X88" s="7"/>
      <c r="Y88" s="7"/>
      <c r="Z88" s="4"/>
      <c r="AA88" s="7"/>
      <c r="AB88" s="7"/>
      <c r="AC88" s="4"/>
      <c r="AD88" s="7"/>
      <c r="AE88" s="7"/>
      <c r="AF88" s="4"/>
      <c r="AG88" s="7"/>
      <c r="AH88" s="7"/>
      <c r="AI88" s="4"/>
      <c r="AJ88" s="7"/>
      <c r="AK88" s="7"/>
      <c r="AL88" s="4"/>
      <c r="AM88" s="7"/>
      <c r="AN88" s="7"/>
      <c r="AO88" s="4"/>
      <c r="AP88" s="7"/>
      <c r="AQ88" s="7"/>
      <c r="AR88" s="4"/>
      <c r="AS88" s="7"/>
      <c r="AT88" s="7"/>
      <c r="AU88" s="7"/>
      <c r="AV88" s="7"/>
      <c r="AW88" s="7"/>
      <c r="AX88" s="7"/>
      <c r="AY88" s="7"/>
      <c r="AZ88" s="7"/>
      <c r="BA88" s="10">
        <f>'Fertilizer &amp; Pesticide demand'!E88</f>
        <v>0</v>
      </c>
      <c r="BB88" s="10">
        <f>'Fertilizer &amp; Pesticide demand'!F88</f>
        <v>0</v>
      </c>
      <c r="BC88" s="10">
        <f>'Fertilizer &amp; Pesticide demand'!G88</f>
        <v>0</v>
      </c>
      <c r="BD88" s="10">
        <f>'Fertilizer &amp; Pesticide demand'!H88</f>
        <v>0</v>
      </c>
      <c r="BE88" s="10">
        <f>'Fertilizer &amp; Pesticide demand'!I88</f>
        <v>0</v>
      </c>
      <c r="BF88" s="10">
        <f>'Fertilizer &amp; Pesticide demand'!J88</f>
        <v>0</v>
      </c>
      <c r="BG88" s="10">
        <f>'Fertilizer &amp; Pesticide demand'!K88</f>
        <v>0</v>
      </c>
      <c r="BH88" s="10">
        <f>'Fertilizer &amp; Pesticide demand'!L88</f>
        <v>0</v>
      </c>
      <c r="BI88" s="10">
        <f>'Fertilizer &amp; Pesticide demand'!M88</f>
        <v>0</v>
      </c>
      <c r="BJ88" s="10">
        <f>'Fertilizer &amp; Pesticide demand'!N88</f>
        <v>0</v>
      </c>
      <c r="BK88" s="10">
        <f>'Fertilizer &amp; Pesticide demand'!O88</f>
        <v>0</v>
      </c>
      <c r="BL88" s="10">
        <f>'Fertilizer &amp; Pesticide demand'!P88</f>
        <v>0</v>
      </c>
    </row>
    <row r="89" spans="1:64" ht="20.100000000000001" customHeight="1" x14ac:dyDescent="0.25">
      <c r="A89" s="6">
        <f t="shared" si="2"/>
        <v>87</v>
      </c>
      <c r="B89" s="7"/>
      <c r="C89" s="4"/>
      <c r="D89" s="4"/>
      <c r="E89" s="6"/>
      <c r="F89" s="7"/>
      <c r="G89" s="4"/>
      <c r="H89" s="12"/>
      <c r="I89" s="6"/>
      <c r="J89" s="4"/>
      <c r="K89" s="6"/>
      <c r="L89" s="4"/>
      <c r="M89" s="6"/>
      <c r="N89" s="4"/>
      <c r="O89" s="4"/>
      <c r="P89" s="4"/>
      <c r="Q89" s="7"/>
      <c r="R89" s="7"/>
      <c r="S89" s="7"/>
      <c r="T89" s="4"/>
      <c r="U89" s="7"/>
      <c r="V89" s="7"/>
      <c r="W89" s="4"/>
      <c r="X89" s="7"/>
      <c r="Y89" s="7"/>
      <c r="Z89" s="4"/>
      <c r="AA89" s="7"/>
      <c r="AB89" s="7"/>
      <c r="AC89" s="4"/>
      <c r="AD89" s="7"/>
      <c r="AE89" s="7"/>
      <c r="AF89" s="4"/>
      <c r="AG89" s="7"/>
      <c r="AH89" s="7"/>
      <c r="AI89" s="4"/>
      <c r="AJ89" s="7"/>
      <c r="AK89" s="7"/>
      <c r="AL89" s="4"/>
      <c r="AM89" s="7"/>
      <c r="AN89" s="7"/>
      <c r="AO89" s="4"/>
      <c r="AP89" s="7"/>
      <c r="AQ89" s="7"/>
      <c r="AR89" s="4"/>
      <c r="AS89" s="7"/>
      <c r="AT89" s="7"/>
      <c r="AU89" s="7"/>
      <c r="AV89" s="7"/>
      <c r="AW89" s="7"/>
      <c r="AX89" s="7"/>
      <c r="AY89" s="7"/>
      <c r="AZ89" s="7"/>
      <c r="BA89" s="10">
        <f>'Fertilizer &amp; Pesticide demand'!E89</f>
        <v>0</v>
      </c>
      <c r="BB89" s="10">
        <f>'Fertilizer &amp; Pesticide demand'!F89</f>
        <v>0</v>
      </c>
      <c r="BC89" s="10">
        <f>'Fertilizer &amp; Pesticide demand'!G89</f>
        <v>0</v>
      </c>
      <c r="BD89" s="10">
        <f>'Fertilizer &amp; Pesticide demand'!H89</f>
        <v>0</v>
      </c>
      <c r="BE89" s="10">
        <f>'Fertilizer &amp; Pesticide demand'!I89</f>
        <v>0</v>
      </c>
      <c r="BF89" s="10">
        <f>'Fertilizer &amp; Pesticide demand'!J89</f>
        <v>0</v>
      </c>
      <c r="BG89" s="10">
        <f>'Fertilizer &amp; Pesticide demand'!K89</f>
        <v>0</v>
      </c>
      <c r="BH89" s="10">
        <f>'Fertilizer &amp; Pesticide demand'!L89</f>
        <v>0</v>
      </c>
      <c r="BI89" s="10">
        <f>'Fertilizer &amp; Pesticide demand'!M89</f>
        <v>0</v>
      </c>
      <c r="BJ89" s="10">
        <f>'Fertilizer &amp; Pesticide demand'!N89</f>
        <v>0</v>
      </c>
      <c r="BK89" s="10">
        <f>'Fertilizer &amp; Pesticide demand'!O89</f>
        <v>0</v>
      </c>
      <c r="BL89" s="10">
        <f>'Fertilizer &amp; Pesticide demand'!P89</f>
        <v>0</v>
      </c>
    </row>
    <row r="90" spans="1:64" ht="20.100000000000001" customHeight="1" x14ac:dyDescent="0.25">
      <c r="A90" s="6">
        <f t="shared" si="2"/>
        <v>88</v>
      </c>
      <c r="B90" s="7"/>
      <c r="C90" s="4"/>
      <c r="D90" s="4"/>
      <c r="E90" s="6"/>
      <c r="F90" s="7"/>
      <c r="G90" s="4"/>
      <c r="H90" s="12"/>
      <c r="I90" s="6"/>
      <c r="J90" s="4"/>
      <c r="K90" s="6"/>
      <c r="L90" s="4"/>
      <c r="M90" s="6"/>
      <c r="N90" s="4"/>
      <c r="O90" s="4"/>
      <c r="P90" s="4"/>
      <c r="Q90" s="7"/>
      <c r="R90" s="7"/>
      <c r="S90" s="7"/>
      <c r="T90" s="4"/>
      <c r="U90" s="7"/>
      <c r="V90" s="7"/>
      <c r="W90" s="4"/>
      <c r="X90" s="7"/>
      <c r="Y90" s="7"/>
      <c r="Z90" s="4"/>
      <c r="AA90" s="7"/>
      <c r="AB90" s="7"/>
      <c r="AC90" s="4"/>
      <c r="AD90" s="7"/>
      <c r="AE90" s="7"/>
      <c r="AF90" s="4"/>
      <c r="AG90" s="7"/>
      <c r="AH90" s="7"/>
      <c r="AI90" s="4"/>
      <c r="AJ90" s="7"/>
      <c r="AK90" s="7"/>
      <c r="AL90" s="4"/>
      <c r="AM90" s="7"/>
      <c r="AN90" s="7"/>
      <c r="AO90" s="4"/>
      <c r="AP90" s="7"/>
      <c r="AQ90" s="7"/>
      <c r="AR90" s="4"/>
      <c r="AS90" s="7"/>
      <c r="AT90" s="7"/>
      <c r="AU90" s="7"/>
      <c r="AV90" s="7"/>
      <c r="AW90" s="7"/>
      <c r="AX90" s="7"/>
      <c r="AY90" s="7"/>
      <c r="AZ90" s="7"/>
      <c r="BA90" s="10">
        <f>'Fertilizer &amp; Pesticide demand'!E90</f>
        <v>0</v>
      </c>
      <c r="BB90" s="10">
        <f>'Fertilizer &amp; Pesticide demand'!F90</f>
        <v>0</v>
      </c>
      <c r="BC90" s="10">
        <f>'Fertilizer &amp; Pesticide demand'!G90</f>
        <v>0</v>
      </c>
      <c r="BD90" s="10">
        <f>'Fertilizer &amp; Pesticide demand'!H90</f>
        <v>0</v>
      </c>
      <c r="BE90" s="10">
        <f>'Fertilizer &amp; Pesticide demand'!I90</f>
        <v>0</v>
      </c>
      <c r="BF90" s="10">
        <f>'Fertilizer &amp; Pesticide demand'!J90</f>
        <v>0</v>
      </c>
      <c r="BG90" s="10">
        <f>'Fertilizer &amp; Pesticide demand'!K90</f>
        <v>0</v>
      </c>
      <c r="BH90" s="10">
        <f>'Fertilizer &amp; Pesticide demand'!L90</f>
        <v>0</v>
      </c>
      <c r="BI90" s="10">
        <f>'Fertilizer &amp; Pesticide demand'!M90</f>
        <v>0</v>
      </c>
      <c r="BJ90" s="10">
        <f>'Fertilizer &amp; Pesticide demand'!N90</f>
        <v>0</v>
      </c>
      <c r="BK90" s="10">
        <f>'Fertilizer &amp; Pesticide demand'!O90</f>
        <v>0</v>
      </c>
      <c r="BL90" s="10">
        <f>'Fertilizer &amp; Pesticide demand'!P90</f>
        <v>0</v>
      </c>
    </row>
    <row r="91" spans="1:64" ht="20.100000000000001" customHeight="1" x14ac:dyDescent="0.25">
      <c r="A91" s="6">
        <f t="shared" si="2"/>
        <v>89</v>
      </c>
      <c r="B91" s="7"/>
      <c r="C91" s="4"/>
      <c r="D91" s="4"/>
      <c r="E91" s="6"/>
      <c r="F91" s="7"/>
      <c r="G91" s="4"/>
      <c r="H91" s="12"/>
      <c r="I91" s="6"/>
      <c r="J91" s="4"/>
      <c r="K91" s="6"/>
      <c r="L91" s="4"/>
      <c r="M91" s="6"/>
      <c r="N91" s="4"/>
      <c r="O91" s="4"/>
      <c r="P91" s="4"/>
      <c r="Q91" s="7"/>
      <c r="R91" s="7"/>
      <c r="S91" s="7"/>
      <c r="T91" s="4"/>
      <c r="U91" s="7"/>
      <c r="V91" s="7"/>
      <c r="W91" s="4"/>
      <c r="X91" s="7"/>
      <c r="Y91" s="7"/>
      <c r="Z91" s="4"/>
      <c r="AA91" s="7"/>
      <c r="AB91" s="7"/>
      <c r="AC91" s="4"/>
      <c r="AD91" s="7"/>
      <c r="AE91" s="7"/>
      <c r="AF91" s="4"/>
      <c r="AG91" s="7"/>
      <c r="AH91" s="7"/>
      <c r="AI91" s="4"/>
      <c r="AJ91" s="7"/>
      <c r="AK91" s="7"/>
      <c r="AL91" s="4"/>
      <c r="AM91" s="7"/>
      <c r="AN91" s="7"/>
      <c r="AO91" s="4"/>
      <c r="AP91" s="7"/>
      <c r="AQ91" s="7"/>
      <c r="AR91" s="4"/>
      <c r="AS91" s="7"/>
      <c r="AT91" s="7"/>
      <c r="AU91" s="7"/>
      <c r="AV91" s="7"/>
      <c r="AW91" s="7"/>
      <c r="AX91" s="7"/>
      <c r="AY91" s="7"/>
      <c r="AZ91" s="7"/>
      <c r="BA91" s="10">
        <f>'Fertilizer &amp; Pesticide demand'!E91</f>
        <v>0</v>
      </c>
      <c r="BB91" s="10">
        <f>'Fertilizer &amp; Pesticide demand'!F91</f>
        <v>0</v>
      </c>
      <c r="BC91" s="10">
        <f>'Fertilizer &amp; Pesticide demand'!G91</f>
        <v>0</v>
      </c>
      <c r="BD91" s="10">
        <f>'Fertilizer &amp; Pesticide demand'!H91</f>
        <v>0</v>
      </c>
      <c r="BE91" s="10">
        <f>'Fertilizer &amp; Pesticide demand'!I91</f>
        <v>0</v>
      </c>
      <c r="BF91" s="10">
        <f>'Fertilizer &amp; Pesticide demand'!J91</f>
        <v>0</v>
      </c>
      <c r="BG91" s="10">
        <f>'Fertilizer &amp; Pesticide demand'!K91</f>
        <v>0</v>
      </c>
      <c r="BH91" s="10">
        <f>'Fertilizer &amp; Pesticide demand'!L91</f>
        <v>0</v>
      </c>
      <c r="BI91" s="10">
        <f>'Fertilizer &amp; Pesticide demand'!M91</f>
        <v>0</v>
      </c>
      <c r="BJ91" s="10">
        <f>'Fertilizer &amp; Pesticide demand'!N91</f>
        <v>0</v>
      </c>
      <c r="BK91" s="10">
        <f>'Fertilizer &amp; Pesticide demand'!O91</f>
        <v>0</v>
      </c>
      <c r="BL91" s="10">
        <f>'Fertilizer &amp; Pesticide demand'!P91</f>
        <v>0</v>
      </c>
    </row>
    <row r="92" spans="1:64" ht="20.100000000000001" customHeight="1" x14ac:dyDescent="0.25">
      <c r="A92" s="6">
        <f t="shared" si="2"/>
        <v>90</v>
      </c>
      <c r="B92" s="7"/>
      <c r="C92" s="4"/>
      <c r="D92" s="4"/>
      <c r="E92" s="6"/>
      <c r="F92" s="7"/>
      <c r="G92" s="4"/>
      <c r="H92" s="12"/>
      <c r="I92" s="6"/>
      <c r="J92" s="4"/>
      <c r="K92" s="6"/>
      <c r="L92" s="4"/>
      <c r="M92" s="6"/>
      <c r="N92" s="4"/>
      <c r="O92" s="4"/>
      <c r="P92" s="4"/>
      <c r="Q92" s="7"/>
      <c r="R92" s="7"/>
      <c r="S92" s="7"/>
      <c r="T92" s="4"/>
      <c r="U92" s="7"/>
      <c r="V92" s="7"/>
      <c r="W92" s="4"/>
      <c r="X92" s="7"/>
      <c r="Y92" s="7"/>
      <c r="Z92" s="4"/>
      <c r="AA92" s="7"/>
      <c r="AB92" s="7"/>
      <c r="AC92" s="4"/>
      <c r="AD92" s="7"/>
      <c r="AE92" s="7"/>
      <c r="AF92" s="4"/>
      <c r="AG92" s="7"/>
      <c r="AH92" s="7"/>
      <c r="AI92" s="4"/>
      <c r="AJ92" s="7"/>
      <c r="AK92" s="7"/>
      <c r="AL92" s="4"/>
      <c r="AM92" s="7"/>
      <c r="AN92" s="7"/>
      <c r="AO92" s="4"/>
      <c r="AP92" s="7"/>
      <c r="AQ92" s="7"/>
      <c r="AR92" s="4"/>
      <c r="AS92" s="7"/>
      <c r="AT92" s="7"/>
      <c r="AU92" s="7"/>
      <c r="AV92" s="7"/>
      <c r="AW92" s="7"/>
      <c r="AX92" s="7"/>
      <c r="AY92" s="7"/>
      <c r="AZ92" s="7"/>
      <c r="BA92" s="10">
        <f>'Fertilizer &amp; Pesticide demand'!E92</f>
        <v>0</v>
      </c>
      <c r="BB92" s="10">
        <f>'Fertilizer &amp; Pesticide demand'!F92</f>
        <v>0</v>
      </c>
      <c r="BC92" s="10">
        <f>'Fertilizer &amp; Pesticide demand'!G92</f>
        <v>0</v>
      </c>
      <c r="BD92" s="10">
        <f>'Fertilizer &amp; Pesticide demand'!H92</f>
        <v>0</v>
      </c>
      <c r="BE92" s="10">
        <f>'Fertilizer &amp; Pesticide demand'!I92</f>
        <v>0</v>
      </c>
      <c r="BF92" s="10">
        <f>'Fertilizer &amp; Pesticide demand'!J92</f>
        <v>0</v>
      </c>
      <c r="BG92" s="10">
        <f>'Fertilizer &amp; Pesticide demand'!K92</f>
        <v>0</v>
      </c>
      <c r="BH92" s="10">
        <f>'Fertilizer &amp; Pesticide demand'!L92</f>
        <v>0</v>
      </c>
      <c r="BI92" s="10">
        <f>'Fertilizer &amp; Pesticide demand'!M92</f>
        <v>0</v>
      </c>
      <c r="BJ92" s="10">
        <f>'Fertilizer &amp; Pesticide demand'!N92</f>
        <v>0</v>
      </c>
      <c r="BK92" s="10">
        <f>'Fertilizer &amp; Pesticide demand'!O92</f>
        <v>0</v>
      </c>
      <c r="BL92" s="10">
        <f>'Fertilizer &amp; Pesticide demand'!P92</f>
        <v>0</v>
      </c>
    </row>
    <row r="93" spans="1:64" ht="20.100000000000001" customHeight="1" x14ac:dyDescent="0.25">
      <c r="A93" s="6">
        <f t="shared" si="2"/>
        <v>91</v>
      </c>
      <c r="B93" s="7"/>
      <c r="C93" s="4"/>
      <c r="D93" s="4"/>
      <c r="E93" s="6"/>
      <c r="F93" s="7"/>
      <c r="G93" s="4"/>
      <c r="H93" s="12"/>
      <c r="I93" s="6"/>
      <c r="J93" s="4"/>
      <c r="K93" s="6"/>
      <c r="L93" s="4"/>
      <c r="M93" s="6"/>
      <c r="N93" s="4"/>
      <c r="O93" s="4"/>
      <c r="P93" s="4"/>
      <c r="Q93" s="7"/>
      <c r="R93" s="7"/>
      <c r="S93" s="7"/>
      <c r="T93" s="4"/>
      <c r="U93" s="7"/>
      <c r="V93" s="7"/>
      <c r="W93" s="4"/>
      <c r="X93" s="7"/>
      <c r="Y93" s="7"/>
      <c r="Z93" s="4"/>
      <c r="AA93" s="7"/>
      <c r="AB93" s="7"/>
      <c r="AC93" s="4"/>
      <c r="AD93" s="7"/>
      <c r="AE93" s="7"/>
      <c r="AF93" s="4"/>
      <c r="AG93" s="7"/>
      <c r="AH93" s="7"/>
      <c r="AI93" s="4"/>
      <c r="AJ93" s="7"/>
      <c r="AK93" s="7"/>
      <c r="AL93" s="4"/>
      <c r="AM93" s="7"/>
      <c r="AN93" s="7"/>
      <c r="AO93" s="4"/>
      <c r="AP93" s="7"/>
      <c r="AQ93" s="7"/>
      <c r="AR93" s="4"/>
      <c r="AS93" s="7"/>
      <c r="AT93" s="7"/>
      <c r="AU93" s="7"/>
      <c r="AV93" s="7"/>
      <c r="AW93" s="7"/>
      <c r="AX93" s="7"/>
      <c r="AY93" s="7"/>
      <c r="AZ93" s="7"/>
      <c r="BA93" s="10">
        <f>'Fertilizer &amp; Pesticide demand'!E93</f>
        <v>0</v>
      </c>
      <c r="BB93" s="10">
        <f>'Fertilizer &amp; Pesticide demand'!F93</f>
        <v>0</v>
      </c>
      <c r="BC93" s="10">
        <f>'Fertilizer &amp; Pesticide demand'!G93</f>
        <v>0</v>
      </c>
      <c r="BD93" s="10">
        <f>'Fertilizer &amp; Pesticide demand'!H93</f>
        <v>0</v>
      </c>
      <c r="BE93" s="10">
        <f>'Fertilizer &amp; Pesticide demand'!I93</f>
        <v>0</v>
      </c>
      <c r="BF93" s="10">
        <f>'Fertilizer &amp; Pesticide demand'!J93</f>
        <v>0</v>
      </c>
      <c r="BG93" s="10">
        <f>'Fertilizer &amp; Pesticide demand'!K93</f>
        <v>0</v>
      </c>
      <c r="BH93" s="10">
        <f>'Fertilizer &amp; Pesticide demand'!L93</f>
        <v>0</v>
      </c>
      <c r="BI93" s="10">
        <f>'Fertilizer &amp; Pesticide demand'!M93</f>
        <v>0</v>
      </c>
      <c r="BJ93" s="10">
        <f>'Fertilizer &amp; Pesticide demand'!N93</f>
        <v>0</v>
      </c>
      <c r="BK93" s="10">
        <f>'Fertilizer &amp; Pesticide demand'!O93</f>
        <v>0</v>
      </c>
      <c r="BL93" s="10">
        <f>'Fertilizer &amp; Pesticide demand'!P93</f>
        <v>0</v>
      </c>
    </row>
    <row r="94" spans="1:64" ht="20.100000000000001" customHeight="1" x14ac:dyDescent="0.25">
      <c r="A94" s="6">
        <f t="shared" si="2"/>
        <v>92</v>
      </c>
      <c r="B94" s="7"/>
      <c r="C94" s="4"/>
      <c r="D94" s="4"/>
      <c r="E94" s="6"/>
      <c r="F94" s="7"/>
      <c r="G94" s="4"/>
      <c r="H94" s="12"/>
      <c r="I94" s="6"/>
      <c r="J94" s="4"/>
      <c r="K94" s="6"/>
      <c r="L94" s="4"/>
      <c r="M94" s="6"/>
      <c r="N94" s="4"/>
      <c r="O94" s="4"/>
      <c r="P94" s="4"/>
      <c r="Q94" s="7"/>
      <c r="R94" s="7"/>
      <c r="S94" s="7"/>
      <c r="T94" s="4"/>
      <c r="U94" s="7"/>
      <c r="V94" s="7"/>
      <c r="W94" s="4"/>
      <c r="X94" s="7"/>
      <c r="Y94" s="7"/>
      <c r="Z94" s="4"/>
      <c r="AA94" s="7"/>
      <c r="AB94" s="7"/>
      <c r="AC94" s="4"/>
      <c r="AD94" s="7"/>
      <c r="AE94" s="7"/>
      <c r="AF94" s="4"/>
      <c r="AG94" s="7"/>
      <c r="AH94" s="7"/>
      <c r="AI94" s="4"/>
      <c r="AJ94" s="7"/>
      <c r="AK94" s="7"/>
      <c r="AL94" s="4"/>
      <c r="AM94" s="7"/>
      <c r="AN94" s="7"/>
      <c r="AO94" s="4"/>
      <c r="AP94" s="7"/>
      <c r="AQ94" s="7"/>
      <c r="AR94" s="4"/>
      <c r="AS94" s="7"/>
      <c r="AT94" s="7"/>
      <c r="AU94" s="7"/>
      <c r="AV94" s="7"/>
      <c r="AW94" s="7"/>
      <c r="AX94" s="7"/>
      <c r="AY94" s="7"/>
      <c r="AZ94" s="7"/>
      <c r="BA94" s="10">
        <f>'Fertilizer &amp; Pesticide demand'!E94</f>
        <v>0</v>
      </c>
      <c r="BB94" s="10">
        <f>'Fertilizer &amp; Pesticide demand'!F94</f>
        <v>0</v>
      </c>
      <c r="BC94" s="10">
        <f>'Fertilizer &amp; Pesticide demand'!G94</f>
        <v>0</v>
      </c>
      <c r="BD94" s="10">
        <f>'Fertilizer &amp; Pesticide demand'!H94</f>
        <v>0</v>
      </c>
      <c r="BE94" s="10">
        <f>'Fertilizer &amp; Pesticide demand'!I94</f>
        <v>0</v>
      </c>
      <c r="BF94" s="10">
        <f>'Fertilizer &amp; Pesticide demand'!J94</f>
        <v>0</v>
      </c>
      <c r="BG94" s="10">
        <f>'Fertilizer &amp; Pesticide demand'!K94</f>
        <v>0</v>
      </c>
      <c r="BH94" s="10">
        <f>'Fertilizer &amp; Pesticide demand'!L94</f>
        <v>0</v>
      </c>
      <c r="BI94" s="10">
        <f>'Fertilizer &amp; Pesticide demand'!M94</f>
        <v>0</v>
      </c>
      <c r="BJ94" s="10">
        <f>'Fertilizer &amp; Pesticide demand'!N94</f>
        <v>0</v>
      </c>
      <c r="BK94" s="10">
        <f>'Fertilizer &amp; Pesticide demand'!O94</f>
        <v>0</v>
      </c>
      <c r="BL94" s="10">
        <f>'Fertilizer &amp; Pesticide demand'!P94</f>
        <v>0</v>
      </c>
    </row>
    <row r="95" spans="1:64" ht="20.100000000000001" customHeight="1" x14ac:dyDescent="0.25">
      <c r="A95" s="6">
        <f t="shared" si="2"/>
        <v>93</v>
      </c>
      <c r="B95" s="7"/>
      <c r="C95" s="4"/>
      <c r="D95" s="4"/>
      <c r="E95" s="6"/>
      <c r="F95" s="7"/>
      <c r="G95" s="4"/>
      <c r="H95" s="12"/>
      <c r="I95" s="6"/>
      <c r="J95" s="4"/>
      <c r="K95" s="6"/>
      <c r="L95" s="4"/>
      <c r="M95" s="6"/>
      <c r="N95" s="4"/>
      <c r="O95" s="4"/>
      <c r="P95" s="4"/>
      <c r="Q95" s="7"/>
      <c r="R95" s="7"/>
      <c r="S95" s="7"/>
      <c r="T95" s="4"/>
      <c r="U95" s="7"/>
      <c r="V95" s="7"/>
      <c r="W95" s="4"/>
      <c r="X95" s="7"/>
      <c r="Y95" s="7"/>
      <c r="Z95" s="4"/>
      <c r="AA95" s="7"/>
      <c r="AB95" s="7"/>
      <c r="AC95" s="4"/>
      <c r="AD95" s="7"/>
      <c r="AE95" s="7"/>
      <c r="AF95" s="4"/>
      <c r="AG95" s="7"/>
      <c r="AH95" s="7"/>
      <c r="AI95" s="4"/>
      <c r="AJ95" s="7"/>
      <c r="AK95" s="7"/>
      <c r="AL95" s="4"/>
      <c r="AM95" s="7"/>
      <c r="AN95" s="7"/>
      <c r="AO95" s="4"/>
      <c r="AP95" s="7"/>
      <c r="AQ95" s="7"/>
      <c r="AR95" s="4"/>
      <c r="AS95" s="7"/>
      <c r="AT95" s="7"/>
      <c r="AU95" s="7"/>
      <c r="AV95" s="7"/>
      <c r="AW95" s="7"/>
      <c r="AX95" s="7"/>
      <c r="AY95" s="7"/>
      <c r="AZ95" s="7"/>
      <c r="BA95" s="10">
        <f>'Fertilizer &amp; Pesticide demand'!E95</f>
        <v>0</v>
      </c>
      <c r="BB95" s="10">
        <f>'Fertilizer &amp; Pesticide demand'!F95</f>
        <v>0</v>
      </c>
      <c r="BC95" s="10">
        <f>'Fertilizer &amp; Pesticide demand'!G95</f>
        <v>0</v>
      </c>
      <c r="BD95" s="10">
        <f>'Fertilizer &amp; Pesticide demand'!H95</f>
        <v>0</v>
      </c>
      <c r="BE95" s="10">
        <f>'Fertilizer &amp; Pesticide demand'!I95</f>
        <v>0</v>
      </c>
      <c r="BF95" s="10">
        <f>'Fertilizer &amp; Pesticide demand'!J95</f>
        <v>0</v>
      </c>
      <c r="BG95" s="10">
        <f>'Fertilizer &amp; Pesticide demand'!K95</f>
        <v>0</v>
      </c>
      <c r="BH95" s="10">
        <f>'Fertilizer &amp; Pesticide demand'!L95</f>
        <v>0</v>
      </c>
      <c r="BI95" s="10">
        <f>'Fertilizer &amp; Pesticide demand'!M95</f>
        <v>0</v>
      </c>
      <c r="BJ95" s="10">
        <f>'Fertilizer &amp; Pesticide demand'!N95</f>
        <v>0</v>
      </c>
      <c r="BK95" s="10">
        <f>'Fertilizer &amp; Pesticide demand'!O95</f>
        <v>0</v>
      </c>
      <c r="BL95" s="10">
        <f>'Fertilizer &amp; Pesticide demand'!P95</f>
        <v>0</v>
      </c>
    </row>
    <row r="96" spans="1:64" ht="20.100000000000001" customHeight="1" x14ac:dyDescent="0.25">
      <c r="A96" s="6">
        <f t="shared" si="2"/>
        <v>94</v>
      </c>
      <c r="B96" s="7"/>
      <c r="C96" s="4"/>
      <c r="D96" s="4"/>
      <c r="E96" s="6"/>
      <c r="F96" s="7"/>
      <c r="G96" s="4"/>
      <c r="H96" s="12"/>
      <c r="I96" s="6"/>
      <c r="J96" s="4"/>
      <c r="K96" s="6"/>
      <c r="L96" s="4"/>
      <c r="M96" s="6"/>
      <c r="N96" s="4"/>
      <c r="O96" s="4"/>
      <c r="P96" s="4"/>
      <c r="Q96" s="7"/>
      <c r="R96" s="7"/>
      <c r="S96" s="7"/>
      <c r="T96" s="4"/>
      <c r="U96" s="7"/>
      <c r="V96" s="7"/>
      <c r="W96" s="4"/>
      <c r="X96" s="7"/>
      <c r="Y96" s="7"/>
      <c r="Z96" s="4"/>
      <c r="AA96" s="7"/>
      <c r="AB96" s="7"/>
      <c r="AC96" s="4"/>
      <c r="AD96" s="7"/>
      <c r="AE96" s="7"/>
      <c r="AF96" s="4"/>
      <c r="AG96" s="7"/>
      <c r="AH96" s="7"/>
      <c r="AI96" s="4"/>
      <c r="AJ96" s="7"/>
      <c r="AK96" s="7"/>
      <c r="AL96" s="4"/>
      <c r="AM96" s="7"/>
      <c r="AN96" s="7"/>
      <c r="AO96" s="4"/>
      <c r="AP96" s="7"/>
      <c r="AQ96" s="7"/>
      <c r="AR96" s="4"/>
      <c r="AS96" s="7"/>
      <c r="AT96" s="7"/>
      <c r="AU96" s="7"/>
      <c r="AV96" s="7"/>
      <c r="AW96" s="7"/>
      <c r="AX96" s="7"/>
      <c r="AY96" s="7"/>
      <c r="AZ96" s="7"/>
      <c r="BA96" s="10">
        <f>'Fertilizer &amp; Pesticide demand'!E96</f>
        <v>0</v>
      </c>
      <c r="BB96" s="10">
        <f>'Fertilizer &amp; Pesticide demand'!F96</f>
        <v>0</v>
      </c>
      <c r="BC96" s="10">
        <f>'Fertilizer &amp; Pesticide demand'!G96</f>
        <v>0</v>
      </c>
      <c r="BD96" s="10">
        <f>'Fertilizer &amp; Pesticide demand'!H96</f>
        <v>0</v>
      </c>
      <c r="BE96" s="10">
        <f>'Fertilizer &amp; Pesticide demand'!I96</f>
        <v>0</v>
      </c>
      <c r="BF96" s="10">
        <f>'Fertilizer &amp; Pesticide demand'!J96</f>
        <v>0</v>
      </c>
      <c r="BG96" s="10">
        <f>'Fertilizer &amp; Pesticide demand'!K96</f>
        <v>0</v>
      </c>
      <c r="BH96" s="10">
        <f>'Fertilizer &amp; Pesticide demand'!L96</f>
        <v>0</v>
      </c>
      <c r="BI96" s="10">
        <f>'Fertilizer &amp; Pesticide demand'!M96</f>
        <v>0</v>
      </c>
      <c r="BJ96" s="10">
        <f>'Fertilizer &amp; Pesticide demand'!N96</f>
        <v>0</v>
      </c>
      <c r="BK96" s="10">
        <f>'Fertilizer &amp; Pesticide demand'!O96</f>
        <v>0</v>
      </c>
      <c r="BL96" s="10">
        <f>'Fertilizer &amp; Pesticide demand'!P96</f>
        <v>0</v>
      </c>
    </row>
    <row r="97" spans="1:64" ht="20.100000000000001" customHeight="1" x14ac:dyDescent="0.25">
      <c r="A97" s="6">
        <f t="shared" si="2"/>
        <v>95</v>
      </c>
      <c r="B97" s="7"/>
      <c r="C97" s="4"/>
      <c r="D97" s="4"/>
      <c r="E97" s="6"/>
      <c r="F97" s="7"/>
      <c r="G97" s="4"/>
      <c r="H97" s="12"/>
      <c r="I97" s="6"/>
      <c r="J97" s="4"/>
      <c r="K97" s="6"/>
      <c r="L97" s="4"/>
      <c r="M97" s="6"/>
      <c r="N97" s="4"/>
      <c r="O97" s="4"/>
      <c r="P97" s="4"/>
      <c r="Q97" s="7"/>
      <c r="R97" s="7"/>
      <c r="S97" s="7"/>
      <c r="T97" s="4"/>
      <c r="U97" s="7"/>
      <c r="V97" s="7"/>
      <c r="W97" s="4"/>
      <c r="X97" s="7"/>
      <c r="Y97" s="7"/>
      <c r="Z97" s="4"/>
      <c r="AA97" s="7"/>
      <c r="AB97" s="7"/>
      <c r="AC97" s="4"/>
      <c r="AD97" s="7"/>
      <c r="AE97" s="7"/>
      <c r="AF97" s="4"/>
      <c r="AG97" s="7"/>
      <c r="AH97" s="7"/>
      <c r="AI97" s="4"/>
      <c r="AJ97" s="7"/>
      <c r="AK97" s="7"/>
      <c r="AL97" s="4"/>
      <c r="AM97" s="7"/>
      <c r="AN97" s="7"/>
      <c r="AO97" s="4"/>
      <c r="AP97" s="7"/>
      <c r="AQ97" s="7"/>
      <c r="AR97" s="4"/>
      <c r="AS97" s="7"/>
      <c r="AT97" s="7"/>
      <c r="AU97" s="7"/>
      <c r="AV97" s="7"/>
      <c r="AW97" s="7"/>
      <c r="AX97" s="7"/>
      <c r="AY97" s="7"/>
      <c r="AZ97" s="7"/>
      <c r="BA97" s="10">
        <f>'Fertilizer &amp; Pesticide demand'!E97</f>
        <v>0</v>
      </c>
      <c r="BB97" s="10">
        <f>'Fertilizer &amp; Pesticide demand'!F97</f>
        <v>0</v>
      </c>
      <c r="BC97" s="10">
        <f>'Fertilizer &amp; Pesticide demand'!G97</f>
        <v>0</v>
      </c>
      <c r="BD97" s="10">
        <f>'Fertilizer &amp; Pesticide demand'!H97</f>
        <v>0</v>
      </c>
      <c r="BE97" s="10">
        <f>'Fertilizer &amp; Pesticide demand'!I97</f>
        <v>0</v>
      </c>
      <c r="BF97" s="10">
        <f>'Fertilizer &amp; Pesticide demand'!J97</f>
        <v>0</v>
      </c>
      <c r="BG97" s="10">
        <f>'Fertilizer &amp; Pesticide demand'!K97</f>
        <v>0</v>
      </c>
      <c r="BH97" s="10">
        <f>'Fertilizer &amp; Pesticide demand'!L97</f>
        <v>0</v>
      </c>
      <c r="BI97" s="10">
        <f>'Fertilizer &amp; Pesticide demand'!M97</f>
        <v>0</v>
      </c>
      <c r="BJ97" s="10">
        <f>'Fertilizer &amp; Pesticide demand'!N97</f>
        <v>0</v>
      </c>
      <c r="BK97" s="10">
        <f>'Fertilizer &amp; Pesticide demand'!O97</f>
        <v>0</v>
      </c>
      <c r="BL97" s="10">
        <f>'Fertilizer &amp; Pesticide demand'!P97</f>
        <v>0</v>
      </c>
    </row>
    <row r="98" spans="1:64" ht="20.100000000000001" customHeight="1" x14ac:dyDescent="0.25">
      <c r="A98" s="6">
        <f t="shared" si="2"/>
        <v>96</v>
      </c>
      <c r="B98" s="7"/>
      <c r="C98" s="4"/>
      <c r="D98" s="4"/>
      <c r="E98" s="6"/>
      <c r="F98" s="7"/>
      <c r="G98" s="4"/>
      <c r="H98" s="12"/>
      <c r="I98" s="6"/>
      <c r="J98" s="4"/>
      <c r="K98" s="6"/>
      <c r="L98" s="4"/>
      <c r="M98" s="6"/>
      <c r="N98" s="4"/>
      <c r="O98" s="4"/>
      <c r="P98" s="4"/>
      <c r="Q98" s="7"/>
      <c r="R98" s="7"/>
      <c r="S98" s="7"/>
      <c r="T98" s="4"/>
      <c r="U98" s="7"/>
      <c r="V98" s="7"/>
      <c r="W98" s="4"/>
      <c r="X98" s="7"/>
      <c r="Y98" s="7"/>
      <c r="Z98" s="4"/>
      <c r="AA98" s="7"/>
      <c r="AB98" s="7"/>
      <c r="AC98" s="4"/>
      <c r="AD98" s="7"/>
      <c r="AE98" s="7"/>
      <c r="AF98" s="4"/>
      <c r="AG98" s="7"/>
      <c r="AH98" s="7"/>
      <c r="AI98" s="4"/>
      <c r="AJ98" s="7"/>
      <c r="AK98" s="7"/>
      <c r="AL98" s="4"/>
      <c r="AM98" s="7"/>
      <c r="AN98" s="7"/>
      <c r="AO98" s="4"/>
      <c r="AP98" s="7"/>
      <c r="AQ98" s="7"/>
      <c r="AR98" s="4"/>
      <c r="AS98" s="7"/>
      <c r="AT98" s="7"/>
      <c r="AU98" s="7"/>
      <c r="AV98" s="7"/>
      <c r="AW98" s="7"/>
      <c r="AX98" s="7"/>
      <c r="AY98" s="7"/>
      <c r="AZ98" s="7"/>
      <c r="BA98" s="10">
        <f>'Fertilizer &amp; Pesticide demand'!E98</f>
        <v>0</v>
      </c>
      <c r="BB98" s="10">
        <f>'Fertilizer &amp; Pesticide demand'!F98</f>
        <v>0</v>
      </c>
      <c r="BC98" s="10">
        <f>'Fertilizer &amp; Pesticide demand'!G98</f>
        <v>0</v>
      </c>
      <c r="BD98" s="10">
        <f>'Fertilizer &amp; Pesticide demand'!H98</f>
        <v>0</v>
      </c>
      <c r="BE98" s="10">
        <f>'Fertilizer &amp; Pesticide demand'!I98</f>
        <v>0</v>
      </c>
      <c r="BF98" s="10">
        <f>'Fertilizer &amp; Pesticide demand'!J98</f>
        <v>0</v>
      </c>
      <c r="BG98" s="10">
        <f>'Fertilizer &amp; Pesticide demand'!K98</f>
        <v>0</v>
      </c>
      <c r="BH98" s="10">
        <f>'Fertilizer &amp; Pesticide demand'!L98</f>
        <v>0</v>
      </c>
      <c r="BI98" s="10">
        <f>'Fertilizer &amp; Pesticide demand'!M98</f>
        <v>0</v>
      </c>
      <c r="BJ98" s="10">
        <f>'Fertilizer &amp; Pesticide demand'!N98</f>
        <v>0</v>
      </c>
      <c r="BK98" s="10">
        <f>'Fertilizer &amp; Pesticide demand'!O98</f>
        <v>0</v>
      </c>
      <c r="BL98" s="10">
        <f>'Fertilizer &amp; Pesticide demand'!P98</f>
        <v>0</v>
      </c>
    </row>
    <row r="99" spans="1:64" ht="20.100000000000001" customHeight="1" x14ac:dyDescent="0.25">
      <c r="A99" s="6">
        <f t="shared" si="2"/>
        <v>97</v>
      </c>
      <c r="B99" s="7"/>
      <c r="C99" s="4"/>
      <c r="D99" s="4"/>
      <c r="E99" s="6"/>
      <c r="F99" s="7"/>
      <c r="G99" s="4"/>
      <c r="H99" s="12"/>
      <c r="I99" s="6"/>
      <c r="J99" s="4"/>
      <c r="K99" s="6"/>
      <c r="L99" s="4"/>
      <c r="M99" s="6"/>
      <c r="N99" s="4"/>
      <c r="O99" s="4"/>
      <c r="P99" s="4"/>
      <c r="Q99" s="7"/>
      <c r="R99" s="7"/>
      <c r="S99" s="7"/>
      <c r="T99" s="4"/>
      <c r="U99" s="7"/>
      <c r="V99" s="7"/>
      <c r="W99" s="4"/>
      <c r="X99" s="7"/>
      <c r="Y99" s="7"/>
      <c r="Z99" s="4"/>
      <c r="AA99" s="7"/>
      <c r="AB99" s="7"/>
      <c r="AC99" s="4"/>
      <c r="AD99" s="7"/>
      <c r="AE99" s="7"/>
      <c r="AF99" s="4"/>
      <c r="AG99" s="7"/>
      <c r="AH99" s="7"/>
      <c r="AI99" s="4"/>
      <c r="AJ99" s="7"/>
      <c r="AK99" s="7"/>
      <c r="AL99" s="4"/>
      <c r="AM99" s="7"/>
      <c r="AN99" s="7"/>
      <c r="AO99" s="4"/>
      <c r="AP99" s="7"/>
      <c r="AQ99" s="7"/>
      <c r="AR99" s="4"/>
      <c r="AS99" s="7"/>
      <c r="AT99" s="7"/>
      <c r="AU99" s="7"/>
      <c r="AV99" s="7"/>
      <c r="AW99" s="7"/>
      <c r="AX99" s="7"/>
      <c r="AY99" s="7"/>
      <c r="AZ99" s="7"/>
      <c r="BA99" s="10">
        <f>'Fertilizer &amp; Pesticide demand'!E99</f>
        <v>0</v>
      </c>
      <c r="BB99" s="10">
        <f>'Fertilizer &amp; Pesticide demand'!F99</f>
        <v>0</v>
      </c>
      <c r="BC99" s="10">
        <f>'Fertilizer &amp; Pesticide demand'!G99</f>
        <v>0</v>
      </c>
      <c r="BD99" s="10">
        <f>'Fertilizer &amp; Pesticide demand'!H99</f>
        <v>0</v>
      </c>
      <c r="BE99" s="10">
        <f>'Fertilizer &amp; Pesticide demand'!I99</f>
        <v>0</v>
      </c>
      <c r="BF99" s="10">
        <f>'Fertilizer &amp; Pesticide demand'!J99</f>
        <v>0</v>
      </c>
      <c r="BG99" s="10">
        <f>'Fertilizer &amp; Pesticide demand'!K99</f>
        <v>0</v>
      </c>
      <c r="BH99" s="10">
        <f>'Fertilizer &amp; Pesticide demand'!L99</f>
        <v>0</v>
      </c>
      <c r="BI99" s="10">
        <f>'Fertilizer &amp; Pesticide demand'!M99</f>
        <v>0</v>
      </c>
      <c r="BJ99" s="10">
        <f>'Fertilizer &amp; Pesticide demand'!N99</f>
        <v>0</v>
      </c>
      <c r="BK99" s="10">
        <f>'Fertilizer &amp; Pesticide demand'!O99</f>
        <v>0</v>
      </c>
      <c r="BL99" s="10">
        <f>'Fertilizer &amp; Pesticide demand'!P99</f>
        <v>0</v>
      </c>
    </row>
    <row r="100" spans="1:64" ht="20.100000000000001" customHeight="1" x14ac:dyDescent="0.25">
      <c r="A100" s="6">
        <f t="shared" si="2"/>
        <v>98</v>
      </c>
      <c r="B100" s="7"/>
      <c r="C100" s="4"/>
      <c r="D100" s="4"/>
      <c r="E100" s="6"/>
      <c r="F100" s="7"/>
      <c r="G100" s="4"/>
      <c r="H100" s="12"/>
      <c r="I100" s="6"/>
      <c r="J100" s="4"/>
      <c r="K100" s="6"/>
      <c r="L100" s="4"/>
      <c r="M100" s="6"/>
      <c r="N100" s="4"/>
      <c r="O100" s="4"/>
      <c r="P100" s="4"/>
      <c r="Q100" s="7"/>
      <c r="R100" s="7"/>
      <c r="S100" s="7"/>
      <c r="T100" s="4"/>
      <c r="U100" s="7"/>
      <c r="V100" s="7"/>
      <c r="W100" s="4"/>
      <c r="X100" s="7"/>
      <c r="Y100" s="7"/>
      <c r="Z100" s="4"/>
      <c r="AA100" s="7"/>
      <c r="AB100" s="7"/>
      <c r="AC100" s="4"/>
      <c r="AD100" s="7"/>
      <c r="AE100" s="7"/>
      <c r="AF100" s="4"/>
      <c r="AG100" s="7"/>
      <c r="AH100" s="7"/>
      <c r="AI100" s="4"/>
      <c r="AJ100" s="7"/>
      <c r="AK100" s="7"/>
      <c r="AL100" s="4"/>
      <c r="AM100" s="7"/>
      <c r="AN100" s="7"/>
      <c r="AO100" s="4"/>
      <c r="AP100" s="7"/>
      <c r="AQ100" s="7"/>
      <c r="AR100" s="4"/>
      <c r="AS100" s="7"/>
      <c r="AT100" s="7"/>
      <c r="AU100" s="7"/>
      <c r="AV100" s="7"/>
      <c r="AW100" s="7"/>
      <c r="AX100" s="7"/>
      <c r="AY100" s="7"/>
      <c r="AZ100" s="7"/>
      <c r="BA100" s="10">
        <f>'Fertilizer &amp; Pesticide demand'!E100</f>
        <v>0</v>
      </c>
      <c r="BB100" s="10">
        <f>'Fertilizer &amp; Pesticide demand'!F100</f>
        <v>0</v>
      </c>
      <c r="BC100" s="10">
        <f>'Fertilizer &amp; Pesticide demand'!G100</f>
        <v>0</v>
      </c>
      <c r="BD100" s="10">
        <f>'Fertilizer &amp; Pesticide demand'!H100</f>
        <v>0</v>
      </c>
      <c r="BE100" s="10">
        <f>'Fertilizer &amp; Pesticide demand'!I100</f>
        <v>0</v>
      </c>
      <c r="BF100" s="10">
        <f>'Fertilizer &amp; Pesticide demand'!J100</f>
        <v>0</v>
      </c>
      <c r="BG100" s="10">
        <f>'Fertilizer &amp; Pesticide demand'!K100</f>
        <v>0</v>
      </c>
      <c r="BH100" s="10">
        <f>'Fertilizer &amp; Pesticide demand'!L100</f>
        <v>0</v>
      </c>
      <c r="BI100" s="10">
        <f>'Fertilizer &amp; Pesticide demand'!M100</f>
        <v>0</v>
      </c>
      <c r="BJ100" s="10">
        <f>'Fertilizer &amp; Pesticide demand'!N100</f>
        <v>0</v>
      </c>
      <c r="BK100" s="10">
        <f>'Fertilizer &amp; Pesticide demand'!O100</f>
        <v>0</v>
      </c>
      <c r="BL100" s="10">
        <f>'Fertilizer &amp; Pesticide demand'!P100</f>
        <v>0</v>
      </c>
    </row>
    <row r="101" spans="1:64" ht="20.100000000000001" customHeight="1" x14ac:dyDescent="0.25">
      <c r="A101" s="6">
        <f t="shared" si="2"/>
        <v>99</v>
      </c>
      <c r="B101" s="7"/>
      <c r="C101" s="4"/>
      <c r="D101" s="4"/>
      <c r="E101" s="6"/>
      <c r="F101" s="7"/>
      <c r="G101" s="4"/>
      <c r="H101" s="12"/>
      <c r="I101" s="6"/>
      <c r="J101" s="4"/>
      <c r="K101" s="6"/>
      <c r="L101" s="4"/>
      <c r="M101" s="6"/>
      <c r="N101" s="4"/>
      <c r="O101" s="4"/>
      <c r="P101" s="4"/>
      <c r="Q101" s="7"/>
      <c r="R101" s="7"/>
      <c r="S101" s="7"/>
      <c r="T101" s="4"/>
      <c r="U101" s="7"/>
      <c r="V101" s="7"/>
      <c r="W101" s="4"/>
      <c r="X101" s="7"/>
      <c r="Y101" s="7"/>
      <c r="Z101" s="4"/>
      <c r="AA101" s="7"/>
      <c r="AB101" s="7"/>
      <c r="AC101" s="4"/>
      <c r="AD101" s="7"/>
      <c r="AE101" s="7"/>
      <c r="AF101" s="4"/>
      <c r="AG101" s="7"/>
      <c r="AH101" s="7"/>
      <c r="AI101" s="4"/>
      <c r="AJ101" s="7"/>
      <c r="AK101" s="7"/>
      <c r="AL101" s="4"/>
      <c r="AM101" s="7"/>
      <c r="AN101" s="7"/>
      <c r="AO101" s="4"/>
      <c r="AP101" s="7"/>
      <c r="AQ101" s="7"/>
      <c r="AR101" s="4"/>
      <c r="AS101" s="7"/>
      <c r="AT101" s="7"/>
      <c r="AU101" s="7"/>
      <c r="AV101" s="7"/>
      <c r="AW101" s="7"/>
      <c r="AX101" s="7"/>
      <c r="AY101" s="7"/>
      <c r="AZ101" s="7"/>
      <c r="BA101" s="10">
        <f>'Fertilizer &amp; Pesticide demand'!E101</f>
        <v>0</v>
      </c>
      <c r="BB101" s="10">
        <f>'Fertilizer &amp; Pesticide demand'!F101</f>
        <v>0</v>
      </c>
      <c r="BC101" s="10">
        <f>'Fertilizer &amp; Pesticide demand'!G101</f>
        <v>0</v>
      </c>
      <c r="BD101" s="10">
        <f>'Fertilizer &amp; Pesticide demand'!H101</f>
        <v>0</v>
      </c>
      <c r="BE101" s="10">
        <f>'Fertilizer &amp; Pesticide demand'!I101</f>
        <v>0</v>
      </c>
      <c r="BF101" s="10">
        <f>'Fertilizer &amp; Pesticide demand'!J101</f>
        <v>0</v>
      </c>
      <c r="BG101" s="10">
        <f>'Fertilizer &amp; Pesticide demand'!K101</f>
        <v>0</v>
      </c>
      <c r="BH101" s="10">
        <f>'Fertilizer &amp; Pesticide demand'!L101</f>
        <v>0</v>
      </c>
      <c r="BI101" s="10">
        <f>'Fertilizer &amp; Pesticide demand'!M101</f>
        <v>0</v>
      </c>
      <c r="BJ101" s="10">
        <f>'Fertilizer &amp; Pesticide demand'!N101</f>
        <v>0</v>
      </c>
      <c r="BK101" s="10">
        <f>'Fertilizer &amp; Pesticide demand'!O101</f>
        <v>0</v>
      </c>
      <c r="BL101" s="10">
        <f>'Fertilizer &amp; Pesticide demand'!P101</f>
        <v>0</v>
      </c>
    </row>
    <row r="102" spans="1:64" ht="20.100000000000001" customHeight="1" x14ac:dyDescent="0.25">
      <c r="A102" s="6">
        <f t="shared" si="2"/>
        <v>100</v>
      </c>
      <c r="B102" s="7"/>
      <c r="C102" s="4"/>
      <c r="D102" s="4"/>
      <c r="E102" s="6"/>
      <c r="F102" s="7"/>
      <c r="G102" s="4"/>
      <c r="H102" s="12"/>
      <c r="I102" s="6"/>
      <c r="J102" s="4"/>
      <c r="K102" s="6"/>
      <c r="L102" s="4"/>
      <c r="M102" s="6"/>
      <c r="N102" s="4"/>
      <c r="O102" s="4"/>
      <c r="P102" s="4"/>
      <c r="Q102" s="7"/>
      <c r="R102" s="7"/>
      <c r="S102" s="7"/>
      <c r="T102" s="4"/>
      <c r="U102" s="7"/>
      <c r="V102" s="7"/>
      <c r="W102" s="4"/>
      <c r="X102" s="7"/>
      <c r="Y102" s="7"/>
      <c r="Z102" s="4"/>
      <c r="AA102" s="7"/>
      <c r="AB102" s="7"/>
      <c r="AC102" s="4"/>
      <c r="AD102" s="7"/>
      <c r="AE102" s="7"/>
      <c r="AF102" s="4"/>
      <c r="AG102" s="7"/>
      <c r="AH102" s="7"/>
      <c r="AI102" s="4"/>
      <c r="AJ102" s="7"/>
      <c r="AK102" s="7"/>
      <c r="AL102" s="4"/>
      <c r="AM102" s="7"/>
      <c r="AN102" s="7"/>
      <c r="AO102" s="4"/>
      <c r="AP102" s="7"/>
      <c r="AQ102" s="7"/>
      <c r="AR102" s="4"/>
      <c r="AS102" s="7"/>
      <c r="AT102" s="7"/>
      <c r="AU102" s="7"/>
      <c r="AV102" s="7"/>
      <c r="AW102" s="7"/>
      <c r="AX102" s="7"/>
      <c r="AY102" s="7"/>
      <c r="AZ102" s="7"/>
      <c r="BA102" s="10">
        <f>'Fertilizer &amp; Pesticide demand'!E102</f>
        <v>0</v>
      </c>
      <c r="BB102" s="10">
        <f>'Fertilizer &amp; Pesticide demand'!F102</f>
        <v>0</v>
      </c>
      <c r="BC102" s="10">
        <f>'Fertilizer &amp; Pesticide demand'!G102</f>
        <v>0</v>
      </c>
      <c r="BD102" s="10">
        <f>'Fertilizer &amp; Pesticide demand'!H102</f>
        <v>0</v>
      </c>
      <c r="BE102" s="10">
        <f>'Fertilizer &amp; Pesticide demand'!I102</f>
        <v>0</v>
      </c>
      <c r="BF102" s="10">
        <f>'Fertilizer &amp; Pesticide demand'!J102</f>
        <v>0</v>
      </c>
      <c r="BG102" s="10">
        <f>'Fertilizer &amp; Pesticide demand'!K102</f>
        <v>0</v>
      </c>
      <c r="BH102" s="10">
        <f>'Fertilizer &amp; Pesticide demand'!L102</f>
        <v>0</v>
      </c>
      <c r="BI102" s="10">
        <f>'Fertilizer &amp; Pesticide demand'!M102</f>
        <v>0</v>
      </c>
      <c r="BJ102" s="10">
        <f>'Fertilizer &amp; Pesticide demand'!N102</f>
        <v>0</v>
      </c>
      <c r="BK102" s="10">
        <f>'Fertilizer &amp; Pesticide demand'!O102</f>
        <v>0</v>
      </c>
      <c r="BL102" s="10">
        <f>'Fertilizer &amp; Pesticide demand'!P102</f>
        <v>0</v>
      </c>
    </row>
  </sheetData>
  <autoFilter ref="A2:BL102" xr:uid="{00000000-0001-0000-0000-000000000000}"/>
  <mergeCells count="2">
    <mergeCell ref="A1:K1"/>
    <mergeCell ref="BA1:BL1"/>
  </mergeCells>
  <phoneticPr fontId="6" type="noConversion"/>
  <conditionalFormatting sqref="E3:E102">
    <cfRule type="containsText" dxfId="81" priority="20" operator="containsText" text="No">
      <formula>NOT(ISERROR(SEARCH("No",E3)))</formula>
    </cfRule>
    <cfRule type="containsText" dxfId="80" priority="21" operator="containsText" text="Yes">
      <formula>NOT(ISERROR(SEARCH("Yes",E3)))</formula>
    </cfRule>
    <cfRule type="containsText" dxfId="79" priority="308" operator="containsText" text="No">
      <formula>NOT(ISERROR(SEARCH("No",E3)))</formula>
    </cfRule>
    <cfRule type="containsText" dxfId="78" priority="309" operator="containsText" text="Yes">
      <formula>NOT(ISERROR(SEARCH("Yes",E3)))</formula>
    </cfRule>
  </conditionalFormatting>
  <conditionalFormatting sqref="I3:I102">
    <cfRule type="containsText" dxfId="77" priority="16" operator="containsText" text="No">
      <formula>NOT(ISERROR(SEARCH("No",I3)))</formula>
    </cfRule>
    <cfRule type="containsText" dxfId="76" priority="17" operator="containsText" text="Yes">
      <formula>NOT(ISERROR(SEARCH("Yes",I3)))</formula>
    </cfRule>
    <cfRule type="containsText" dxfId="75" priority="18" operator="containsText" text="No">
      <formula>NOT(ISERROR(SEARCH("No",I3)))</formula>
    </cfRule>
    <cfRule type="containsText" dxfId="74" priority="19" operator="containsText" text="Yes">
      <formula>NOT(ISERROR(SEARCH("Yes",I3)))</formula>
    </cfRule>
  </conditionalFormatting>
  <conditionalFormatting sqref="K3:K102">
    <cfRule type="cellIs" dxfId="73" priority="22" operator="equal">
      <formula>0</formula>
    </cfRule>
  </conditionalFormatting>
  <conditionalFormatting sqref="L3:L102">
    <cfRule type="containsText" dxfId="72" priority="306" operator="containsText" text="No">
      <formula>NOT(ISERROR(SEARCH("No",L3)))</formula>
    </cfRule>
    <cfRule type="containsText" dxfId="71" priority="307" operator="containsText" text="Yes">
      <formula>NOT(ISERROR(SEARCH("Yes",L3)))</formula>
    </cfRule>
  </conditionalFormatting>
  <conditionalFormatting sqref="P3:P102">
    <cfRule type="containsText" dxfId="70" priority="14" operator="containsText" text="No">
      <formula>NOT(ISERROR(SEARCH("No",P3)))</formula>
    </cfRule>
    <cfRule type="containsText" dxfId="69" priority="15" operator="containsText" text="Yes">
      <formula>NOT(ISERROR(SEARCH("Yes",P3)))</formula>
    </cfRule>
  </conditionalFormatting>
  <conditionalFormatting sqref="T3:T102">
    <cfRule type="containsText" dxfId="68" priority="8" operator="containsText" text="No">
      <formula>NOT(ISERROR(SEARCH("No",T3)))</formula>
    </cfRule>
    <cfRule type="containsText" dxfId="67" priority="9" operator="containsText" text="Yes">
      <formula>NOT(ISERROR(SEARCH("Yes",T3)))</formula>
    </cfRule>
  </conditionalFormatting>
  <conditionalFormatting sqref="W3:W102">
    <cfRule type="containsText" dxfId="66" priority="6" operator="containsText" text="No">
      <formula>NOT(ISERROR(SEARCH("No",W3)))</formula>
    </cfRule>
    <cfRule type="containsText" dxfId="65" priority="7" operator="containsText" text="Yes">
      <formula>NOT(ISERROR(SEARCH("Yes",W3)))</formula>
    </cfRule>
  </conditionalFormatting>
  <conditionalFormatting sqref="Z3:Z102">
    <cfRule type="containsText" dxfId="64" priority="12" operator="containsText" text="No">
      <formula>NOT(ISERROR(SEARCH("No",Z3)))</formula>
    </cfRule>
    <cfRule type="containsText" dxfId="63" priority="13" operator="containsText" text="Yes">
      <formula>NOT(ISERROR(SEARCH("Yes",Z3)))</formula>
    </cfRule>
  </conditionalFormatting>
  <conditionalFormatting sqref="AC3:AC102">
    <cfRule type="containsText" dxfId="62" priority="4" operator="containsText" text="No">
      <formula>NOT(ISERROR(SEARCH("No",AC3)))</formula>
    </cfRule>
    <cfRule type="containsText" dxfId="61" priority="5" operator="containsText" text="Yes">
      <formula>NOT(ISERROR(SEARCH("Yes",AC3)))</formula>
    </cfRule>
  </conditionalFormatting>
  <conditionalFormatting sqref="AF3:AF102">
    <cfRule type="containsText" dxfId="60" priority="2" operator="containsText" text="No">
      <formula>NOT(ISERROR(SEARCH("No",AF3)))</formula>
    </cfRule>
    <cfRule type="containsText" dxfId="59" priority="3" operator="containsText" text="Yes">
      <formula>NOT(ISERROR(SEARCH("Yes",AF3)))</formula>
    </cfRule>
  </conditionalFormatting>
  <conditionalFormatting sqref="AI3:AI102">
    <cfRule type="containsText" dxfId="58" priority="10" operator="containsText" text="No">
      <formula>NOT(ISERROR(SEARCH("No",AI3)))</formula>
    </cfRule>
    <cfRule type="containsText" dxfId="57" priority="11" operator="containsText" text="Yes">
      <formula>NOT(ISERROR(SEARCH("Yes",AI3)))</formula>
    </cfRule>
  </conditionalFormatting>
  <conditionalFormatting sqref="AL3:AL102 AO3:AO102 AR3:AR102">
    <cfRule type="containsText" dxfId="56" priority="26" operator="containsText" text="No">
      <formula>NOT(ISERROR(SEARCH("No",AL3)))</formula>
    </cfRule>
    <cfRule type="containsText" dxfId="55" priority="27" operator="containsText" text="Yes">
      <formula>NOT(ISERROR(SEARCH("Yes",AL3)))</formula>
    </cfRule>
  </conditionalFormatting>
  <conditionalFormatting sqref="BJ3:BJ102">
    <cfRule type="containsText" dxfId="54" priority="1" operator="containsText" text="Yes">
      <formula>NOT(ISERROR(SEARCH("Yes",BJ3)))</formula>
    </cfRule>
  </conditionalFormatting>
  <dataValidations count="5">
    <dataValidation type="list" allowBlank="1" showInputMessage="1" showErrorMessage="1" sqref="I3:I102 E3:E102 AO3:AO102 AL3:AL102 AR3:AR102 L3:L102 AC3:AC102 AF3:AF102 Z3:Z102 P3:P102 T3:T102 W3:W102 AI3:AI102" xr:uid="{A4762ADC-E682-48B3-9285-032C0D5F2422}">
      <formula1>"Yes, No"</formula1>
    </dataValidation>
    <dataValidation type="list" allowBlank="1" showInputMessage="1" showErrorMessage="1" sqref="Q88:S101" xr:uid="{2A69AC8A-0337-4D60-BA47-FC50F4926B94}">
      <formula1>"Domestic, Milling"</formula1>
    </dataValidation>
    <dataValidation type="list" allowBlank="1" showInputMessage="1" showErrorMessage="1" sqref="AN19:AN21 AK11 V14 Y18 Y13:Y14 AK18 AK13:AK14 AK16 AQ19:AQ21 AT19:AT21 AK3 AK5 Y5 V6 Y11 O3:O87" xr:uid="{27B0007C-6B47-4438-A04F-E30CC173BF7E}">
      <formula1>"KG, Packets"</formula1>
    </dataValidation>
    <dataValidation type="list" allowBlank="1" showInputMessage="1" showErrorMessage="1" sqref="AX3:AX87 AZ3:AZ87" xr:uid="{13740F13-73FC-49C2-A083-00899303DA8F}">
      <formula1>"Quintal, KG, Metric Ton"</formula1>
    </dataValidation>
    <dataValidation type="list" allowBlank="1" showInputMessage="1" showErrorMessage="1" sqref="H3:H102" xr:uid="{960A1B92-129D-4ABD-B4BB-762CBBA607BD}">
      <formula1>"Rabi, Kharif, Zaid"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B780BEE-32E5-4D21-A061-A5DA67DD6124}">
          <x14:formula1>
            <xm:f>'Backup sheet'!$A$1:$A$4</xm:f>
          </x14:formula1>
          <xm:sqref>J88:J102</xm:sqref>
        </x14:dataValidation>
        <x14:dataValidation type="list" allowBlank="1" showInputMessage="1" showErrorMessage="1" xr:uid="{66479A26-4616-4908-91BC-077A0D736849}">
          <x14:formula1>
            <xm:f>'Backup sheet'!$B$1:$B$3</xm:f>
          </x14:formula1>
          <xm:sqref>AV3:AV87</xm:sqref>
        </x14:dataValidation>
        <x14:dataValidation type="list" allowBlank="1" showInputMessage="1" showErrorMessage="1" xr:uid="{DEDF49DD-04C8-467A-9486-D0EE5AD13595}">
          <x14:formula1>
            <xm:f>'Backup sheet'!$A$1:$A$5</xm:f>
          </x14:formula1>
          <xm:sqref>J3:J87</xm:sqref>
        </x14:dataValidation>
        <x14:dataValidation type="list" allowBlank="1" showInputMessage="1" showErrorMessage="1" xr:uid="{E0E219B7-A7AE-44B2-AEA8-92732D842023}">
          <x14:formula1>
            <xm:f>'Backup sheet'!$E$1:$E$7</xm:f>
          </x14:formula1>
          <xm:sqref>M3:M102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B60E8-E24C-4179-9701-4057FCE18F97}">
  <dimension ref="A1:BF175"/>
  <sheetViews>
    <sheetView showGridLines="0" workbookViewId="0">
      <selection activeCell="R3" sqref="R3"/>
    </sheetView>
  </sheetViews>
  <sheetFormatPr defaultRowHeight="15" x14ac:dyDescent="0.25"/>
  <cols>
    <col min="1" max="1" width="6.28515625" customWidth="1"/>
    <col min="2" max="2" width="15" customWidth="1"/>
    <col min="3" max="3" width="16.28515625" customWidth="1"/>
    <col min="4" max="4" width="15.85546875" customWidth="1"/>
    <col min="5" max="5" width="10.85546875" customWidth="1"/>
    <col min="6" max="6" width="13.28515625" customWidth="1"/>
    <col min="7" max="7" width="17.85546875" customWidth="1"/>
    <col min="8" max="8" width="10.7109375" customWidth="1"/>
    <col min="9" max="9" width="9.7109375" customWidth="1"/>
    <col min="10" max="10" width="25.42578125" customWidth="1"/>
    <col min="11" max="11" width="7.85546875" customWidth="1"/>
    <col min="12" max="12" width="10.85546875" customWidth="1"/>
    <col min="14" max="14" width="7" customWidth="1"/>
    <col min="15" max="17" width="0" hidden="1" customWidth="1"/>
    <col min="24" max="32" width="0" hidden="1" customWidth="1"/>
    <col min="36" max="41" width="0" hidden="1" customWidth="1"/>
    <col min="42" max="42" width="14.28515625" hidden="1" customWidth="1"/>
    <col min="43" max="44" width="0" hidden="1" customWidth="1"/>
    <col min="50" max="50" width="6.85546875" customWidth="1"/>
    <col min="53" max="53" width="7.42578125" customWidth="1"/>
    <col min="54" max="54" width="9.7109375" customWidth="1"/>
    <col min="56" max="56" width="7.28515625" customWidth="1"/>
    <col min="57" max="57" width="10.85546875" customWidth="1"/>
    <col min="58" max="58" width="9.7109375" customWidth="1"/>
  </cols>
  <sheetData>
    <row r="1" spans="1:58" ht="45" customHeight="1" x14ac:dyDescent="0.25">
      <c r="A1" s="191" t="s">
        <v>268</v>
      </c>
      <c r="B1" s="192"/>
      <c r="C1" s="192"/>
      <c r="D1" s="192"/>
      <c r="E1" s="192"/>
      <c r="F1" s="192"/>
      <c r="G1" s="192"/>
      <c r="H1" s="192"/>
      <c r="I1" s="192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</row>
    <row r="2" spans="1:58" s="17" customFormat="1" ht="40.5" customHeight="1" x14ac:dyDescent="0.25">
      <c r="A2" s="18" t="str">
        <f>'Farmer Demand'!A2</f>
        <v>Sl. No</v>
      </c>
      <c r="B2" s="18" t="str">
        <f>'Farmer Demand'!B2</f>
        <v>CSP name</v>
      </c>
      <c r="C2" s="18" t="str">
        <f>'Farmer Demand'!C2</f>
        <v>Name of farmer</v>
      </c>
      <c r="D2" s="18" t="str">
        <f>'Farmer Demand'!D2</f>
        <v>Mob. No</v>
      </c>
      <c r="E2" s="27" t="str">
        <f>'Farmer Demand'!E2</f>
        <v xml:space="preserve">Membership 
</v>
      </c>
      <c r="F2" s="18" t="str">
        <f>'Farmer Demand'!F2</f>
        <v>Village name</v>
      </c>
      <c r="G2" s="18" t="str">
        <f>'Farmer Demand'!G2</f>
        <v>SHG/FIG Name</v>
      </c>
      <c r="H2" s="18" t="str">
        <f>'Farmer Demand'!H2</f>
        <v>Season</v>
      </c>
      <c r="I2" s="19" t="s">
        <v>23</v>
      </c>
      <c r="J2" s="19" t="s">
        <v>36</v>
      </c>
      <c r="K2" s="18" t="s">
        <v>4</v>
      </c>
      <c r="L2" s="19" t="s">
        <v>250</v>
      </c>
      <c r="M2" s="19" t="s">
        <v>215</v>
      </c>
      <c r="N2" s="18" t="s">
        <v>216</v>
      </c>
      <c r="O2" s="18" t="s">
        <v>217</v>
      </c>
      <c r="P2" s="19" t="s">
        <v>215</v>
      </c>
      <c r="Q2" s="18" t="s">
        <v>216</v>
      </c>
      <c r="R2" s="18" t="s">
        <v>134</v>
      </c>
      <c r="S2" s="19" t="s">
        <v>215</v>
      </c>
      <c r="T2" s="19" t="s">
        <v>216</v>
      </c>
      <c r="U2" s="18" t="s">
        <v>6</v>
      </c>
      <c r="V2" s="19" t="s">
        <v>215</v>
      </c>
      <c r="W2" s="19" t="s">
        <v>216</v>
      </c>
      <c r="X2" s="18" t="s">
        <v>219</v>
      </c>
      <c r="Y2" s="19" t="s">
        <v>215</v>
      </c>
      <c r="Z2" s="19" t="s">
        <v>216</v>
      </c>
      <c r="AA2" s="18" t="s">
        <v>220</v>
      </c>
      <c r="AB2" s="19" t="s">
        <v>215</v>
      </c>
      <c r="AC2" s="19" t="s">
        <v>216</v>
      </c>
      <c r="AD2" s="18" t="s">
        <v>221</v>
      </c>
      <c r="AE2" s="19" t="s">
        <v>215</v>
      </c>
      <c r="AF2" s="19" t="s">
        <v>216</v>
      </c>
      <c r="AG2" s="18" t="s">
        <v>7</v>
      </c>
      <c r="AH2" s="19" t="s">
        <v>215</v>
      </c>
      <c r="AI2" s="19" t="s">
        <v>216</v>
      </c>
      <c r="AJ2" s="19" t="s">
        <v>222</v>
      </c>
      <c r="AK2" s="19" t="s">
        <v>215</v>
      </c>
      <c r="AL2" s="19" t="s">
        <v>216</v>
      </c>
      <c r="AM2" s="18" t="s">
        <v>138</v>
      </c>
      <c r="AN2" s="19" t="s">
        <v>215</v>
      </c>
      <c r="AO2" s="19" t="s">
        <v>216</v>
      </c>
      <c r="AP2" s="19" t="s">
        <v>223</v>
      </c>
      <c r="AQ2" s="19" t="s">
        <v>215</v>
      </c>
      <c r="AR2" s="19" t="s">
        <v>216</v>
      </c>
      <c r="AS2" s="19" t="s">
        <v>197</v>
      </c>
      <c r="AT2" s="19" t="s">
        <v>215</v>
      </c>
      <c r="AU2" s="19" t="s">
        <v>216</v>
      </c>
      <c r="AV2" s="19" t="s">
        <v>198</v>
      </c>
      <c r="AW2" s="19" t="s">
        <v>215</v>
      </c>
      <c r="AX2" s="19" t="s">
        <v>216</v>
      </c>
      <c r="AY2" s="19" t="s">
        <v>199</v>
      </c>
      <c r="AZ2" s="19" t="s">
        <v>215</v>
      </c>
      <c r="BA2" s="19" t="s">
        <v>216</v>
      </c>
      <c r="BB2" s="24" t="s">
        <v>251</v>
      </c>
      <c r="BC2" s="25" t="s">
        <v>215</v>
      </c>
      <c r="BD2" s="25" t="s">
        <v>216</v>
      </c>
      <c r="BE2" s="19" t="s">
        <v>252</v>
      </c>
      <c r="BF2" s="19" t="s">
        <v>253</v>
      </c>
    </row>
    <row r="3" spans="1:58" s="15" customFormat="1" ht="26.25" customHeight="1" x14ac:dyDescent="0.2">
      <c r="A3" s="6">
        <f>'Farmer Demand'!A3</f>
        <v>1</v>
      </c>
      <c r="B3" s="6" t="str">
        <f>'Farmer Demand'!B3</f>
        <v>Dhaniyan Bai</v>
      </c>
      <c r="C3" s="6" t="str">
        <f>'Farmer Demand'!C3</f>
        <v>Kammo Dhurwey</v>
      </c>
      <c r="D3" s="6">
        <f>'Farmer Demand'!D3</f>
        <v>0</v>
      </c>
      <c r="E3" s="6" t="str">
        <f>'Farmer Demand'!E3</f>
        <v>Yes</v>
      </c>
      <c r="F3" s="6" t="str">
        <f>'Farmer Demand'!F3</f>
        <v xml:space="preserve">Silghiti </v>
      </c>
      <c r="G3" s="6" t="str">
        <f>'Farmer Demand'!G3</f>
        <v>Narayani SHG</v>
      </c>
      <c r="H3" s="6" t="str">
        <f>'Farmer Demand'!H3</f>
        <v>Kharif</v>
      </c>
      <c r="I3" s="6" t="s">
        <v>29</v>
      </c>
      <c r="J3" s="10" t="s">
        <v>173</v>
      </c>
      <c r="K3" s="6" t="s">
        <v>29</v>
      </c>
      <c r="L3" s="6" t="str">
        <f>'Farmer Demand'!M3</f>
        <v>120 days</v>
      </c>
      <c r="M3" s="6">
        <v>80</v>
      </c>
      <c r="N3" s="6" t="s">
        <v>190</v>
      </c>
      <c r="O3" s="6"/>
      <c r="P3" s="6"/>
      <c r="Q3" s="6"/>
      <c r="R3" s="6" t="s">
        <v>31</v>
      </c>
      <c r="S3" s="6"/>
      <c r="T3" s="6" t="s">
        <v>254</v>
      </c>
      <c r="U3" s="6" t="s">
        <v>31</v>
      </c>
      <c r="V3" s="6" t="s">
        <v>229</v>
      </c>
      <c r="W3" s="6" t="s">
        <v>229</v>
      </c>
      <c r="X3" s="6" t="s">
        <v>31</v>
      </c>
      <c r="Y3" s="6" t="s">
        <v>229</v>
      </c>
      <c r="Z3" s="6" t="s">
        <v>229</v>
      </c>
      <c r="AA3" s="6" t="s">
        <v>31</v>
      </c>
      <c r="AB3" s="6" t="s">
        <v>229</v>
      </c>
      <c r="AC3" s="6" t="s">
        <v>229</v>
      </c>
      <c r="AD3" s="6" t="s">
        <v>31</v>
      </c>
      <c r="AE3" s="6" t="s">
        <v>229</v>
      </c>
      <c r="AF3" s="6" t="s">
        <v>229</v>
      </c>
      <c r="AG3" s="6" t="s">
        <v>29</v>
      </c>
      <c r="AH3" s="21">
        <v>1</v>
      </c>
      <c r="AI3" s="21" t="s">
        <v>191</v>
      </c>
      <c r="AJ3" s="6"/>
      <c r="AK3" s="6"/>
      <c r="AL3" s="6"/>
      <c r="AM3" s="6"/>
      <c r="AN3" s="6"/>
      <c r="AO3" s="6"/>
      <c r="AP3" s="6"/>
      <c r="AQ3" s="6"/>
      <c r="AR3" s="6"/>
      <c r="AS3" s="6" t="s">
        <v>29</v>
      </c>
      <c r="AT3" s="6">
        <v>1</v>
      </c>
      <c r="AU3" s="6" t="s">
        <v>191</v>
      </c>
      <c r="AV3" s="6" t="s">
        <v>29</v>
      </c>
      <c r="AW3" s="6">
        <v>1</v>
      </c>
      <c r="AX3" s="6" t="s">
        <v>191</v>
      </c>
      <c r="AY3" s="6" t="s">
        <v>29</v>
      </c>
      <c r="AZ3" s="6">
        <v>1</v>
      </c>
      <c r="BA3" s="6" t="s">
        <v>191</v>
      </c>
      <c r="BB3" s="6" t="s">
        <v>29</v>
      </c>
      <c r="BC3" s="6">
        <v>1</v>
      </c>
      <c r="BD3" s="6" t="s">
        <v>191</v>
      </c>
      <c r="BE3" s="6">
        <v>800</v>
      </c>
      <c r="BF3" s="6">
        <f>BE3+'Farmer Demand'!K3</f>
        <v>1000</v>
      </c>
    </row>
    <row r="4" spans="1:58" s="15" customFormat="1" ht="12.75" x14ac:dyDescent="0.2">
      <c r="A4" s="6">
        <f>'Farmer Demand'!A4</f>
        <v>2</v>
      </c>
      <c r="B4" s="6" t="str">
        <f>'Farmer Demand'!B4</f>
        <v>Dhaniyan Bai</v>
      </c>
      <c r="C4" s="6" t="str">
        <f>'Farmer Demand'!C4</f>
        <v>Indrawati</v>
      </c>
      <c r="D4" s="6">
        <f>'Farmer Demand'!D4</f>
        <v>0</v>
      </c>
      <c r="E4" s="6" t="str">
        <f>'Farmer Demand'!E4</f>
        <v>Yes</v>
      </c>
      <c r="F4" s="6" t="str">
        <f>'Farmer Demand'!F4</f>
        <v xml:space="preserve">Silghiti </v>
      </c>
      <c r="G4" s="6" t="str">
        <f>'Farmer Demand'!G4</f>
        <v>Jwala Tejaswani</v>
      </c>
      <c r="H4" s="6" t="str">
        <f>'Farmer Demand'!H4</f>
        <v>Kharif</v>
      </c>
      <c r="I4" s="6" t="s">
        <v>29</v>
      </c>
      <c r="J4" s="10" t="s">
        <v>173</v>
      </c>
      <c r="K4" s="6" t="s">
        <v>29</v>
      </c>
      <c r="L4" s="6" t="str">
        <f>'Farmer Demand'!M4</f>
        <v>120 days</v>
      </c>
      <c r="M4" s="6">
        <v>1</v>
      </c>
      <c r="N4" s="6" t="s">
        <v>191</v>
      </c>
      <c r="O4" s="6"/>
      <c r="P4" s="6"/>
      <c r="Q4" s="6"/>
      <c r="R4" s="6" t="s">
        <v>31</v>
      </c>
      <c r="S4" s="6"/>
      <c r="T4" s="6" t="s">
        <v>254</v>
      </c>
      <c r="U4" s="6" t="s">
        <v>31</v>
      </c>
      <c r="V4" s="6" t="s">
        <v>229</v>
      </c>
      <c r="W4" s="6" t="s">
        <v>229</v>
      </c>
      <c r="X4" s="6" t="s">
        <v>31</v>
      </c>
      <c r="Y4" s="6" t="s">
        <v>229</v>
      </c>
      <c r="Z4" s="6" t="s">
        <v>229</v>
      </c>
      <c r="AA4" s="6" t="s">
        <v>31</v>
      </c>
      <c r="AB4" s="6" t="s">
        <v>229</v>
      </c>
      <c r="AC4" s="6" t="s">
        <v>229</v>
      </c>
      <c r="AD4" s="6" t="s">
        <v>31</v>
      </c>
      <c r="AE4" s="6" t="s">
        <v>229</v>
      </c>
      <c r="AF4" s="6" t="s">
        <v>229</v>
      </c>
      <c r="AG4" s="6" t="s">
        <v>31</v>
      </c>
      <c r="AH4" s="6" t="s">
        <v>229</v>
      </c>
      <c r="AI4" s="6" t="s">
        <v>229</v>
      </c>
      <c r="AJ4" s="6"/>
      <c r="AK4" s="6"/>
      <c r="AL4" s="6"/>
      <c r="AM4" s="6"/>
      <c r="AN4" s="6"/>
      <c r="AO4" s="6"/>
      <c r="AP4" s="6"/>
      <c r="AQ4" s="6"/>
      <c r="AR4" s="6"/>
      <c r="AS4" s="6" t="s">
        <v>29</v>
      </c>
      <c r="AT4" s="6">
        <v>1</v>
      </c>
      <c r="AU4" s="6" t="s">
        <v>191</v>
      </c>
      <c r="AV4" s="6" t="s">
        <v>29</v>
      </c>
      <c r="AW4" s="6">
        <v>1</v>
      </c>
      <c r="AX4" s="6" t="s">
        <v>191</v>
      </c>
      <c r="AY4" s="6" t="s">
        <v>29</v>
      </c>
      <c r="AZ4" s="6">
        <v>1</v>
      </c>
      <c r="BA4" s="6" t="s">
        <v>191</v>
      </c>
      <c r="BB4" s="6" t="s">
        <v>29</v>
      </c>
      <c r="BC4" s="6">
        <v>1</v>
      </c>
      <c r="BD4" s="6" t="s">
        <v>191</v>
      </c>
      <c r="BE4" s="6">
        <v>600</v>
      </c>
      <c r="BF4" s="6">
        <f>BE4+'Farmer Demand'!K4</f>
        <v>800</v>
      </c>
    </row>
    <row r="5" spans="1:58" s="15" customFormat="1" ht="12.75" x14ac:dyDescent="0.2">
      <c r="A5" s="6">
        <f>'Farmer Demand'!A5</f>
        <v>3</v>
      </c>
      <c r="B5" s="6" t="str">
        <f>'Farmer Demand'!B5</f>
        <v>Dhaniyan Bai</v>
      </c>
      <c r="C5" s="6" t="str">
        <f>'Farmer Demand'!C5</f>
        <v>Sundariya Tekam</v>
      </c>
      <c r="D5" s="6">
        <f>'Farmer Demand'!D5</f>
        <v>0</v>
      </c>
      <c r="E5" s="6" t="str">
        <f>'Farmer Demand'!E5</f>
        <v>Yes</v>
      </c>
      <c r="F5" s="6" t="str">
        <f>'Farmer Demand'!F5</f>
        <v xml:space="preserve">Silghiti </v>
      </c>
      <c r="G5" s="6" t="str">
        <f>'Farmer Demand'!G5</f>
        <v>Jwala Tejaswani</v>
      </c>
      <c r="H5" s="6" t="str">
        <f>'Farmer Demand'!H5</f>
        <v>Kharif</v>
      </c>
      <c r="I5" s="6" t="s">
        <v>29</v>
      </c>
      <c r="J5" s="10" t="s">
        <v>173</v>
      </c>
      <c r="K5" s="6" t="s">
        <v>29</v>
      </c>
      <c r="L5" s="6" t="str">
        <f>'Farmer Demand'!M5</f>
        <v>120 days</v>
      </c>
      <c r="M5" s="6">
        <v>1</v>
      </c>
      <c r="N5" s="6" t="s">
        <v>191</v>
      </c>
      <c r="O5" s="6"/>
      <c r="P5" s="6"/>
      <c r="Q5" s="6"/>
      <c r="R5" s="6" t="s">
        <v>31</v>
      </c>
      <c r="S5" s="6"/>
      <c r="T5" s="6" t="s">
        <v>254</v>
      </c>
      <c r="U5" s="6" t="s">
        <v>29</v>
      </c>
      <c r="V5" s="21">
        <v>1</v>
      </c>
      <c r="W5" s="22" t="s">
        <v>191</v>
      </c>
      <c r="X5" s="6" t="s">
        <v>31</v>
      </c>
      <c r="Y5" s="6" t="s">
        <v>229</v>
      </c>
      <c r="Z5" s="6" t="s">
        <v>229</v>
      </c>
      <c r="AA5" s="6" t="s">
        <v>31</v>
      </c>
      <c r="AB5" s="6" t="s">
        <v>229</v>
      </c>
      <c r="AC5" s="6" t="s">
        <v>229</v>
      </c>
      <c r="AD5" s="6" t="s">
        <v>31</v>
      </c>
      <c r="AE5" s="6" t="s">
        <v>229</v>
      </c>
      <c r="AF5" s="6" t="s">
        <v>229</v>
      </c>
      <c r="AG5" s="6" t="s">
        <v>29</v>
      </c>
      <c r="AH5" s="21">
        <v>1</v>
      </c>
      <c r="AI5" s="21" t="s">
        <v>191</v>
      </c>
      <c r="AJ5" s="6"/>
      <c r="AK5" s="6"/>
      <c r="AL5" s="6"/>
      <c r="AM5" s="6"/>
      <c r="AN5" s="6"/>
      <c r="AO5" s="6"/>
      <c r="AP5" s="6"/>
      <c r="AQ5" s="6"/>
      <c r="AR5" s="6"/>
      <c r="AS5" s="6" t="s">
        <v>29</v>
      </c>
      <c r="AT5" s="6">
        <v>1</v>
      </c>
      <c r="AU5" s="6" t="s">
        <v>191</v>
      </c>
      <c r="AV5" s="6" t="s">
        <v>29</v>
      </c>
      <c r="AW5" s="6">
        <v>1</v>
      </c>
      <c r="AX5" s="6" t="s">
        <v>191</v>
      </c>
      <c r="AY5" s="6" t="s">
        <v>31</v>
      </c>
      <c r="AZ5" s="6" t="s">
        <v>229</v>
      </c>
      <c r="BA5" s="6" t="s">
        <v>229</v>
      </c>
      <c r="BB5" s="6" t="s">
        <v>29</v>
      </c>
      <c r="BC5" s="6">
        <v>1</v>
      </c>
      <c r="BD5" s="6" t="s">
        <v>191</v>
      </c>
      <c r="BE5" s="6">
        <v>700</v>
      </c>
      <c r="BF5" s="6">
        <f>BE5+'Farmer Demand'!K5</f>
        <v>900</v>
      </c>
    </row>
    <row r="6" spans="1:58" s="15" customFormat="1" ht="12.75" x14ac:dyDescent="0.2">
      <c r="A6" s="6">
        <f>'Farmer Demand'!A6</f>
        <v>4</v>
      </c>
      <c r="B6" s="6" t="str">
        <f>'Farmer Demand'!B6</f>
        <v>Dhaniyan Bai</v>
      </c>
      <c r="C6" s="6" t="str">
        <f>'Farmer Demand'!C6</f>
        <v>Sunita</v>
      </c>
      <c r="D6" s="6">
        <f>'Farmer Demand'!D6</f>
        <v>0</v>
      </c>
      <c r="E6" s="6" t="str">
        <f>'Farmer Demand'!E6</f>
        <v>Yes</v>
      </c>
      <c r="F6" s="6" t="str">
        <f>'Farmer Demand'!F6</f>
        <v xml:space="preserve">Silghiti </v>
      </c>
      <c r="G6" s="6" t="str">
        <f>'Farmer Demand'!G6</f>
        <v>Jagdamba</v>
      </c>
      <c r="H6" s="6" t="str">
        <f>'Farmer Demand'!H6</f>
        <v>Kharif</v>
      </c>
      <c r="I6" s="6" t="s">
        <v>29</v>
      </c>
      <c r="J6" s="10" t="s">
        <v>173</v>
      </c>
      <c r="K6" s="6" t="s">
        <v>29</v>
      </c>
      <c r="L6" s="6" t="str">
        <f>'Farmer Demand'!M6</f>
        <v>120 days</v>
      </c>
      <c r="M6" s="6">
        <v>25</v>
      </c>
      <c r="N6" s="6" t="s">
        <v>190</v>
      </c>
      <c r="O6" s="6"/>
      <c r="P6" s="6"/>
      <c r="Q6" s="6"/>
      <c r="R6" s="6" t="s">
        <v>29</v>
      </c>
      <c r="S6" s="6">
        <v>1</v>
      </c>
      <c r="T6" s="6" t="s">
        <v>190</v>
      </c>
      <c r="U6" s="6" t="s">
        <v>31</v>
      </c>
      <c r="V6" s="6" t="s">
        <v>229</v>
      </c>
      <c r="W6" s="6" t="s">
        <v>229</v>
      </c>
      <c r="X6" s="6" t="s">
        <v>31</v>
      </c>
      <c r="Y6" s="6" t="s">
        <v>229</v>
      </c>
      <c r="Z6" s="6" t="s">
        <v>229</v>
      </c>
      <c r="AA6" s="6" t="s">
        <v>31</v>
      </c>
      <c r="AB6" s="6" t="s">
        <v>229</v>
      </c>
      <c r="AC6" s="6" t="s">
        <v>229</v>
      </c>
      <c r="AD6" s="6" t="s">
        <v>31</v>
      </c>
      <c r="AE6" s="6" t="s">
        <v>229</v>
      </c>
      <c r="AF6" s="6" t="s">
        <v>229</v>
      </c>
      <c r="AG6" s="6" t="s">
        <v>31</v>
      </c>
      <c r="AH6" s="6" t="s">
        <v>229</v>
      </c>
      <c r="AI6" s="6" t="s">
        <v>229</v>
      </c>
      <c r="AJ6" s="6"/>
      <c r="AK6" s="6"/>
      <c r="AL6" s="6"/>
      <c r="AM6" s="6"/>
      <c r="AN6" s="6"/>
      <c r="AO6" s="6"/>
      <c r="AP6" s="6"/>
      <c r="AQ6" s="6"/>
      <c r="AR6" s="6"/>
      <c r="AS6" s="6" t="s">
        <v>29</v>
      </c>
      <c r="AT6" s="6">
        <v>1</v>
      </c>
      <c r="AU6" s="6" t="s">
        <v>191</v>
      </c>
      <c r="AV6" s="6" t="s">
        <v>29</v>
      </c>
      <c r="AW6" s="6">
        <v>1</v>
      </c>
      <c r="AX6" s="6" t="s">
        <v>191</v>
      </c>
      <c r="AY6" s="6" t="s">
        <v>31</v>
      </c>
      <c r="AZ6" s="6" t="s">
        <v>229</v>
      </c>
      <c r="BA6" s="6" t="s">
        <v>229</v>
      </c>
      <c r="BB6" s="6" t="s">
        <v>29</v>
      </c>
      <c r="BC6" s="6">
        <v>1</v>
      </c>
      <c r="BD6" s="6" t="s">
        <v>191</v>
      </c>
      <c r="BE6" s="6">
        <v>900</v>
      </c>
      <c r="BF6" s="6">
        <f>BE6+'Farmer Demand'!K6</f>
        <v>1100</v>
      </c>
    </row>
    <row r="7" spans="1:58" s="15" customFormat="1" ht="12.75" x14ac:dyDescent="0.2">
      <c r="A7" s="6">
        <f>'Farmer Demand'!A7</f>
        <v>5</v>
      </c>
      <c r="B7" s="6" t="str">
        <f>'Farmer Demand'!B7</f>
        <v>Dhaniyan Bai</v>
      </c>
      <c r="C7" s="6" t="str">
        <f>'Farmer Demand'!C7</f>
        <v xml:space="preserve">Draupati Bai </v>
      </c>
      <c r="D7" s="6">
        <f>'Farmer Demand'!D7</f>
        <v>0</v>
      </c>
      <c r="E7" s="6" t="str">
        <f>'Farmer Demand'!E7</f>
        <v>Yes</v>
      </c>
      <c r="F7" s="6" t="str">
        <f>'Farmer Demand'!F7</f>
        <v xml:space="preserve">Silghiti </v>
      </c>
      <c r="G7" s="6" t="str">
        <f>'Farmer Demand'!G7</f>
        <v>Jwala Tejaswani</v>
      </c>
      <c r="H7" s="6" t="str">
        <f>'Farmer Demand'!H7</f>
        <v>Kharif</v>
      </c>
      <c r="I7" s="6" t="s">
        <v>29</v>
      </c>
      <c r="J7" s="10" t="s">
        <v>173</v>
      </c>
      <c r="K7" s="6" t="s">
        <v>29</v>
      </c>
      <c r="L7" s="6" t="str">
        <f>'Farmer Demand'!M7</f>
        <v>120 days</v>
      </c>
      <c r="M7" s="6">
        <v>2</v>
      </c>
      <c r="N7" s="6" t="s">
        <v>191</v>
      </c>
      <c r="O7" s="6"/>
      <c r="P7" s="6"/>
      <c r="Q7" s="6"/>
      <c r="R7" s="6" t="s">
        <v>31</v>
      </c>
      <c r="S7" s="6"/>
      <c r="T7" s="6" t="s">
        <v>254</v>
      </c>
      <c r="U7" s="6" t="s">
        <v>31</v>
      </c>
      <c r="V7" s="6" t="s">
        <v>229</v>
      </c>
      <c r="W7" s="6" t="s">
        <v>229</v>
      </c>
      <c r="X7" s="6" t="s">
        <v>31</v>
      </c>
      <c r="Y7" s="6" t="s">
        <v>229</v>
      </c>
      <c r="Z7" s="6" t="s">
        <v>229</v>
      </c>
      <c r="AA7" s="6" t="s">
        <v>31</v>
      </c>
      <c r="AB7" s="6" t="s">
        <v>229</v>
      </c>
      <c r="AC7" s="6" t="s">
        <v>229</v>
      </c>
      <c r="AD7" s="6" t="s">
        <v>31</v>
      </c>
      <c r="AE7" s="6" t="s">
        <v>229</v>
      </c>
      <c r="AF7" s="6" t="s">
        <v>229</v>
      </c>
      <c r="AG7" s="6" t="s">
        <v>31</v>
      </c>
      <c r="AH7" s="6" t="s">
        <v>229</v>
      </c>
      <c r="AI7" s="6" t="s">
        <v>229</v>
      </c>
      <c r="AJ7" s="6"/>
      <c r="AK7" s="6"/>
      <c r="AL7" s="6"/>
      <c r="AM7" s="6"/>
      <c r="AN7" s="6"/>
      <c r="AO7" s="6"/>
      <c r="AP7" s="6"/>
      <c r="AQ7" s="6"/>
      <c r="AR7" s="6"/>
      <c r="AS7" s="6" t="s">
        <v>29</v>
      </c>
      <c r="AT7" s="6">
        <v>1</v>
      </c>
      <c r="AU7" s="6" t="s">
        <v>191</v>
      </c>
      <c r="AV7" s="6" t="s">
        <v>29</v>
      </c>
      <c r="AW7" s="6">
        <v>1</v>
      </c>
      <c r="AX7" s="6" t="s">
        <v>191</v>
      </c>
      <c r="AY7" s="6" t="s">
        <v>31</v>
      </c>
      <c r="AZ7" s="6" t="s">
        <v>229</v>
      </c>
      <c r="BA7" s="6" t="s">
        <v>229</v>
      </c>
      <c r="BB7" s="6" t="s">
        <v>29</v>
      </c>
      <c r="BC7" s="6">
        <v>1</v>
      </c>
      <c r="BD7" s="6" t="s">
        <v>191</v>
      </c>
      <c r="BE7" s="6">
        <v>800</v>
      </c>
      <c r="BF7" s="6">
        <f>BE7+'Farmer Demand'!K7</f>
        <v>1000</v>
      </c>
    </row>
    <row r="8" spans="1:58" s="15" customFormat="1" ht="12.75" x14ac:dyDescent="0.2">
      <c r="A8" s="6">
        <f>'Farmer Demand'!A8</f>
        <v>6</v>
      </c>
      <c r="B8" s="6" t="str">
        <f>'Farmer Demand'!B8</f>
        <v>Dhaniyan Bai</v>
      </c>
      <c r="C8" s="6" t="str">
        <f>'Farmer Demand'!C8</f>
        <v xml:space="preserve">Sashi Bairagi </v>
      </c>
      <c r="D8" s="6">
        <f>'Farmer Demand'!D8</f>
        <v>0</v>
      </c>
      <c r="E8" s="6" t="str">
        <f>'Farmer Demand'!E8</f>
        <v>Yes</v>
      </c>
      <c r="F8" s="6" t="str">
        <f>'Farmer Demand'!F8</f>
        <v xml:space="preserve">Silghiti </v>
      </c>
      <c r="G8" s="6" t="str">
        <f>'Farmer Demand'!G8</f>
        <v>Jwala Tejaswani</v>
      </c>
      <c r="H8" s="6" t="str">
        <f>'Farmer Demand'!H8</f>
        <v>Kharif</v>
      </c>
      <c r="I8" s="6" t="s">
        <v>29</v>
      </c>
      <c r="J8" s="10" t="s">
        <v>173</v>
      </c>
      <c r="K8" s="6" t="s">
        <v>29</v>
      </c>
      <c r="L8" s="6" t="str">
        <f>'Farmer Demand'!M8</f>
        <v>120 days</v>
      </c>
      <c r="M8" s="6">
        <v>1</v>
      </c>
      <c r="N8" s="6" t="s">
        <v>191</v>
      </c>
      <c r="O8" s="6"/>
      <c r="P8" s="6"/>
      <c r="Q8" s="6"/>
      <c r="R8" s="6" t="s">
        <v>31</v>
      </c>
      <c r="S8" s="6"/>
      <c r="T8" s="6" t="s">
        <v>254</v>
      </c>
      <c r="U8" s="6" t="s">
        <v>31</v>
      </c>
      <c r="V8" s="6" t="s">
        <v>229</v>
      </c>
      <c r="W8" s="6" t="s">
        <v>229</v>
      </c>
      <c r="X8" s="6" t="s">
        <v>31</v>
      </c>
      <c r="Y8" s="6" t="s">
        <v>229</v>
      </c>
      <c r="Z8" s="6" t="s">
        <v>229</v>
      </c>
      <c r="AA8" s="6" t="s">
        <v>31</v>
      </c>
      <c r="AB8" s="6" t="s">
        <v>229</v>
      </c>
      <c r="AC8" s="6" t="s">
        <v>229</v>
      </c>
      <c r="AD8" s="6" t="s">
        <v>31</v>
      </c>
      <c r="AE8" s="6" t="s">
        <v>229</v>
      </c>
      <c r="AF8" s="6" t="s">
        <v>229</v>
      </c>
      <c r="AG8" s="6" t="s">
        <v>31</v>
      </c>
      <c r="AH8" s="6" t="s">
        <v>229</v>
      </c>
      <c r="AI8" s="6" t="s">
        <v>229</v>
      </c>
      <c r="AJ8" s="6"/>
      <c r="AK8" s="6"/>
      <c r="AL8" s="6"/>
      <c r="AM8" s="6"/>
      <c r="AN8" s="6"/>
      <c r="AO8" s="6"/>
      <c r="AP8" s="6"/>
      <c r="AQ8" s="6"/>
      <c r="AR8" s="6"/>
      <c r="AS8" s="6" t="s">
        <v>29</v>
      </c>
      <c r="AT8" s="6">
        <v>1</v>
      </c>
      <c r="AU8" s="6" t="s">
        <v>191</v>
      </c>
      <c r="AV8" s="6" t="s">
        <v>29</v>
      </c>
      <c r="AW8" s="6">
        <v>1</v>
      </c>
      <c r="AX8" s="6" t="s">
        <v>191</v>
      </c>
      <c r="AY8" s="6" t="s">
        <v>31</v>
      </c>
      <c r="AZ8" s="6" t="s">
        <v>229</v>
      </c>
      <c r="BA8" s="6" t="s">
        <v>229</v>
      </c>
      <c r="BB8" s="6" t="s">
        <v>29</v>
      </c>
      <c r="BC8" s="6">
        <v>1</v>
      </c>
      <c r="BD8" s="6" t="s">
        <v>191</v>
      </c>
      <c r="BE8" s="6">
        <v>600</v>
      </c>
      <c r="BF8" s="6">
        <f>BE8+'Farmer Demand'!K8</f>
        <v>600</v>
      </c>
    </row>
    <row r="9" spans="1:58" s="15" customFormat="1" ht="12.75" x14ac:dyDescent="0.2">
      <c r="A9" s="6">
        <f>'Farmer Demand'!A9</f>
        <v>7</v>
      </c>
      <c r="B9" s="6" t="str">
        <f>'Farmer Demand'!B9</f>
        <v>Dhaniyan Bai</v>
      </c>
      <c r="C9" s="6" t="str">
        <f>'Farmer Demand'!C9</f>
        <v xml:space="preserve">Jeera Bai </v>
      </c>
      <c r="D9" s="6">
        <f>'Farmer Demand'!D9</f>
        <v>0</v>
      </c>
      <c r="E9" s="6" t="str">
        <f>'Farmer Demand'!E9</f>
        <v>Yes</v>
      </c>
      <c r="F9" s="6" t="str">
        <f>'Farmer Demand'!F9</f>
        <v xml:space="preserve">Silghiti </v>
      </c>
      <c r="G9" s="6" t="str">
        <f>'Farmer Demand'!G9</f>
        <v>Jagdamba</v>
      </c>
      <c r="H9" s="6" t="str">
        <f>'Farmer Demand'!H9</f>
        <v>Kharif</v>
      </c>
      <c r="I9" s="6" t="s">
        <v>29</v>
      </c>
      <c r="J9" s="10" t="s">
        <v>173</v>
      </c>
      <c r="K9" s="6" t="s">
        <v>29</v>
      </c>
      <c r="L9" s="6" t="str">
        <f>'Farmer Demand'!M9</f>
        <v>120 days</v>
      </c>
      <c r="M9" s="6">
        <v>1</v>
      </c>
      <c r="N9" s="6" t="s">
        <v>191</v>
      </c>
      <c r="O9" s="6"/>
      <c r="P9" s="6"/>
      <c r="Q9" s="6"/>
      <c r="R9" s="6" t="s">
        <v>31</v>
      </c>
      <c r="S9" s="6"/>
      <c r="T9" s="6" t="s">
        <v>254</v>
      </c>
      <c r="U9" s="6" t="s">
        <v>31</v>
      </c>
      <c r="V9" s="6" t="s">
        <v>229</v>
      </c>
      <c r="W9" s="6" t="s">
        <v>229</v>
      </c>
      <c r="X9" s="6" t="s">
        <v>31</v>
      </c>
      <c r="Y9" s="6" t="s">
        <v>229</v>
      </c>
      <c r="Z9" s="6" t="s">
        <v>229</v>
      </c>
      <c r="AA9" s="6" t="s">
        <v>31</v>
      </c>
      <c r="AB9" s="6" t="s">
        <v>229</v>
      </c>
      <c r="AC9" s="6" t="s">
        <v>229</v>
      </c>
      <c r="AD9" s="6" t="s">
        <v>31</v>
      </c>
      <c r="AE9" s="6" t="s">
        <v>229</v>
      </c>
      <c r="AF9" s="6" t="s">
        <v>229</v>
      </c>
      <c r="AG9" s="6" t="s">
        <v>31</v>
      </c>
      <c r="AH9" s="6" t="s">
        <v>229</v>
      </c>
      <c r="AI9" s="6" t="s">
        <v>229</v>
      </c>
      <c r="AJ9" s="6"/>
      <c r="AK9" s="6"/>
      <c r="AL9" s="6"/>
      <c r="AM9" s="6"/>
      <c r="AN9" s="6"/>
      <c r="AO9" s="6"/>
      <c r="AP9" s="6"/>
      <c r="AQ9" s="6"/>
      <c r="AR9" s="6"/>
      <c r="AS9" s="6" t="s">
        <v>29</v>
      </c>
      <c r="AT9" s="6">
        <v>1</v>
      </c>
      <c r="AU9" s="6" t="s">
        <v>191</v>
      </c>
      <c r="AV9" s="6" t="s">
        <v>31</v>
      </c>
      <c r="AW9" s="6" t="s">
        <v>229</v>
      </c>
      <c r="AX9" s="6" t="s">
        <v>229</v>
      </c>
      <c r="AY9" s="6" t="s">
        <v>31</v>
      </c>
      <c r="AZ9" s="6" t="s">
        <v>229</v>
      </c>
      <c r="BA9" s="6" t="s">
        <v>229</v>
      </c>
      <c r="BB9" s="6" t="s">
        <v>29</v>
      </c>
      <c r="BC9" s="6">
        <v>1</v>
      </c>
      <c r="BD9" s="6" t="s">
        <v>191</v>
      </c>
      <c r="BE9" s="6">
        <v>700</v>
      </c>
      <c r="BF9" s="6">
        <f>BE9+'Farmer Demand'!K9</f>
        <v>900</v>
      </c>
    </row>
    <row r="10" spans="1:58" s="15" customFormat="1" ht="12.75" x14ac:dyDescent="0.2">
      <c r="A10" s="6">
        <f>'Farmer Demand'!A10</f>
        <v>8</v>
      </c>
      <c r="B10" s="6" t="str">
        <f>'Farmer Demand'!B10</f>
        <v>Dhaniyan Bai</v>
      </c>
      <c r="C10" s="6" t="str">
        <f>'Farmer Demand'!C10</f>
        <v>Gomti</v>
      </c>
      <c r="D10" s="6">
        <f>'Farmer Demand'!D10</f>
        <v>0</v>
      </c>
      <c r="E10" s="6" t="str">
        <f>'Farmer Demand'!E10</f>
        <v>Yes</v>
      </c>
      <c r="F10" s="6" t="str">
        <f>'Farmer Demand'!F10</f>
        <v xml:space="preserve">Silghiti </v>
      </c>
      <c r="G10" s="6" t="str">
        <f>'Farmer Demand'!G10</f>
        <v>Durga</v>
      </c>
      <c r="H10" s="6" t="str">
        <f>'Farmer Demand'!H10</f>
        <v>Kharif</v>
      </c>
      <c r="I10" s="6" t="s">
        <v>29</v>
      </c>
      <c r="J10" s="10" t="s">
        <v>173</v>
      </c>
      <c r="K10" s="6" t="s">
        <v>29</v>
      </c>
      <c r="L10" s="6" t="str">
        <f>'Farmer Demand'!M10</f>
        <v>120 days</v>
      </c>
      <c r="M10" s="6">
        <v>1</v>
      </c>
      <c r="N10" s="6" t="s">
        <v>191</v>
      </c>
      <c r="O10" s="6"/>
      <c r="P10" s="6"/>
      <c r="Q10" s="6"/>
      <c r="R10" s="6" t="s">
        <v>31</v>
      </c>
      <c r="S10" s="6"/>
      <c r="T10" s="6" t="s">
        <v>254</v>
      </c>
      <c r="U10" s="6" t="s">
        <v>31</v>
      </c>
      <c r="V10" s="6" t="s">
        <v>229</v>
      </c>
      <c r="W10" s="6" t="s">
        <v>229</v>
      </c>
      <c r="X10" s="6" t="s">
        <v>31</v>
      </c>
      <c r="Y10" s="6" t="s">
        <v>229</v>
      </c>
      <c r="Z10" s="6" t="s">
        <v>229</v>
      </c>
      <c r="AA10" s="6" t="s">
        <v>31</v>
      </c>
      <c r="AB10" s="6" t="s">
        <v>229</v>
      </c>
      <c r="AC10" s="6" t="s">
        <v>229</v>
      </c>
      <c r="AD10" s="6" t="s">
        <v>31</v>
      </c>
      <c r="AE10" s="6" t="s">
        <v>229</v>
      </c>
      <c r="AF10" s="6" t="s">
        <v>229</v>
      </c>
      <c r="AG10" s="6" t="s">
        <v>31</v>
      </c>
      <c r="AH10" s="6" t="s">
        <v>229</v>
      </c>
      <c r="AI10" s="6" t="s">
        <v>229</v>
      </c>
      <c r="AJ10" s="6"/>
      <c r="AK10" s="6"/>
      <c r="AL10" s="6"/>
      <c r="AM10" s="6"/>
      <c r="AN10" s="6"/>
      <c r="AO10" s="6"/>
      <c r="AP10" s="6"/>
      <c r="AQ10" s="6"/>
      <c r="AR10" s="6"/>
      <c r="AS10" s="6" t="s">
        <v>29</v>
      </c>
      <c r="AT10" s="6">
        <v>1</v>
      </c>
      <c r="AU10" s="6" t="s">
        <v>191</v>
      </c>
      <c r="AV10" s="6" t="s">
        <v>31</v>
      </c>
      <c r="AW10" s="6" t="s">
        <v>229</v>
      </c>
      <c r="AX10" s="6" t="s">
        <v>229</v>
      </c>
      <c r="AY10" s="6" t="s">
        <v>31</v>
      </c>
      <c r="AZ10" s="6" t="s">
        <v>229</v>
      </c>
      <c r="BA10" s="6" t="s">
        <v>229</v>
      </c>
      <c r="BB10" s="6" t="s">
        <v>29</v>
      </c>
      <c r="BC10" s="6">
        <v>1</v>
      </c>
      <c r="BD10" s="6" t="s">
        <v>191</v>
      </c>
      <c r="BE10" s="6">
        <v>900</v>
      </c>
      <c r="BF10" s="6">
        <f>BE10+'Farmer Demand'!K10</f>
        <v>1100</v>
      </c>
    </row>
    <row r="11" spans="1:58" s="15" customFormat="1" ht="12.75" x14ac:dyDescent="0.2">
      <c r="A11" s="6">
        <f>'Farmer Demand'!A11</f>
        <v>9</v>
      </c>
      <c r="B11" s="6" t="str">
        <f>'Farmer Demand'!B11</f>
        <v>Dhaniyan Bai</v>
      </c>
      <c r="C11" s="6" t="str">
        <f>'Farmer Demand'!C11</f>
        <v>Dooja Bai</v>
      </c>
      <c r="D11" s="6">
        <f>'Farmer Demand'!D11</f>
        <v>0</v>
      </c>
      <c r="E11" s="6" t="str">
        <f>'Farmer Demand'!E11</f>
        <v>Yes</v>
      </c>
      <c r="F11" s="6" t="str">
        <f>'Farmer Demand'!F11</f>
        <v xml:space="preserve">Silghiti </v>
      </c>
      <c r="G11" s="6" t="str">
        <f>'Farmer Demand'!G11</f>
        <v>Durga</v>
      </c>
      <c r="H11" s="6" t="str">
        <f>'Farmer Demand'!H11</f>
        <v>Kharif</v>
      </c>
      <c r="I11" s="6" t="s">
        <v>29</v>
      </c>
      <c r="J11" s="10" t="s">
        <v>173</v>
      </c>
      <c r="K11" s="6" t="s">
        <v>29</v>
      </c>
      <c r="L11" s="6" t="str">
        <f>'Farmer Demand'!M11</f>
        <v>120 days</v>
      </c>
      <c r="M11" s="4">
        <v>2</v>
      </c>
      <c r="N11" s="6" t="s">
        <v>191</v>
      </c>
      <c r="O11" s="6"/>
      <c r="P11" s="6"/>
      <c r="Q11" s="6"/>
      <c r="R11" s="6" t="s">
        <v>31</v>
      </c>
      <c r="S11" s="6"/>
      <c r="T11" s="6" t="s">
        <v>254</v>
      </c>
      <c r="U11" s="6" t="s">
        <v>29</v>
      </c>
      <c r="V11" s="21">
        <v>1</v>
      </c>
      <c r="W11" s="22" t="s">
        <v>191</v>
      </c>
      <c r="X11" s="6" t="s">
        <v>31</v>
      </c>
      <c r="Y11" s="6" t="s">
        <v>229</v>
      </c>
      <c r="Z11" s="6" t="s">
        <v>229</v>
      </c>
      <c r="AA11" s="6" t="s">
        <v>31</v>
      </c>
      <c r="AB11" s="6" t="s">
        <v>229</v>
      </c>
      <c r="AC11" s="6" t="s">
        <v>229</v>
      </c>
      <c r="AD11" s="6" t="s">
        <v>31</v>
      </c>
      <c r="AE11" s="6" t="s">
        <v>229</v>
      </c>
      <c r="AF11" s="6" t="s">
        <v>229</v>
      </c>
      <c r="AG11" s="6" t="s">
        <v>29</v>
      </c>
      <c r="AH11" s="21">
        <v>1</v>
      </c>
      <c r="AI11" s="21" t="s">
        <v>191</v>
      </c>
      <c r="AJ11" s="6"/>
      <c r="AK11" s="6"/>
      <c r="AL11" s="6"/>
      <c r="AM11" s="6"/>
      <c r="AN11" s="6"/>
      <c r="AO11" s="6"/>
      <c r="AP11" s="6"/>
      <c r="AQ11" s="6"/>
      <c r="AR11" s="6"/>
      <c r="AS11" s="6" t="s">
        <v>29</v>
      </c>
      <c r="AT11" s="6">
        <v>1</v>
      </c>
      <c r="AU11" s="6" t="s">
        <v>191</v>
      </c>
      <c r="AV11" s="6" t="s">
        <v>31</v>
      </c>
      <c r="AW11" s="6" t="s">
        <v>229</v>
      </c>
      <c r="AX11" s="6" t="s">
        <v>229</v>
      </c>
      <c r="AY11" s="6" t="s">
        <v>31</v>
      </c>
      <c r="AZ11" s="6" t="s">
        <v>229</v>
      </c>
      <c r="BA11" s="6" t="s">
        <v>229</v>
      </c>
      <c r="BB11" s="6" t="s">
        <v>29</v>
      </c>
      <c r="BC11" s="6">
        <v>1</v>
      </c>
      <c r="BD11" s="6" t="s">
        <v>191</v>
      </c>
      <c r="BE11" s="6">
        <v>800</v>
      </c>
      <c r="BF11" s="6">
        <f>BE11+'Farmer Demand'!K11</f>
        <v>1000</v>
      </c>
    </row>
    <row r="12" spans="1:58" s="15" customFormat="1" ht="12.75" x14ac:dyDescent="0.2">
      <c r="A12" s="6">
        <f>'Farmer Demand'!A12</f>
        <v>10</v>
      </c>
      <c r="B12" s="6" t="str">
        <f>'Farmer Demand'!B12</f>
        <v>Dhaniyan Bai</v>
      </c>
      <c r="C12" s="6" t="str">
        <f>'Farmer Demand'!C12</f>
        <v>Tijan kulaste</v>
      </c>
      <c r="D12" s="6">
        <f>'Farmer Demand'!D12</f>
        <v>0</v>
      </c>
      <c r="E12" s="6" t="str">
        <f>'Farmer Demand'!E12</f>
        <v>Yes</v>
      </c>
      <c r="F12" s="6" t="str">
        <f>'Farmer Demand'!F12</f>
        <v xml:space="preserve">Silghiti </v>
      </c>
      <c r="G12" s="6" t="str">
        <f>'Farmer Demand'!G12</f>
        <v>Durga</v>
      </c>
      <c r="H12" s="6" t="str">
        <f>'Farmer Demand'!H12</f>
        <v>Kharif</v>
      </c>
      <c r="I12" s="6" t="s">
        <v>29</v>
      </c>
      <c r="J12" s="10" t="s">
        <v>173</v>
      </c>
      <c r="K12" s="6" t="s">
        <v>29</v>
      </c>
      <c r="L12" s="6" t="str">
        <f>'Farmer Demand'!M12</f>
        <v>120 days</v>
      </c>
      <c r="M12" s="6">
        <v>1</v>
      </c>
      <c r="N12" s="6" t="s">
        <v>191</v>
      </c>
      <c r="O12" s="6"/>
      <c r="P12" s="6"/>
      <c r="Q12" s="6"/>
      <c r="R12" s="6" t="s">
        <v>31</v>
      </c>
      <c r="S12" s="6"/>
      <c r="T12" s="6" t="s">
        <v>254</v>
      </c>
      <c r="U12" s="6" t="s">
        <v>31</v>
      </c>
      <c r="V12" s="6" t="s">
        <v>229</v>
      </c>
      <c r="W12" s="6" t="s">
        <v>229</v>
      </c>
      <c r="X12" s="6" t="s">
        <v>31</v>
      </c>
      <c r="Y12" s="6" t="s">
        <v>229</v>
      </c>
      <c r="Z12" s="6" t="s">
        <v>229</v>
      </c>
      <c r="AA12" s="6" t="s">
        <v>31</v>
      </c>
      <c r="AB12" s="6" t="s">
        <v>229</v>
      </c>
      <c r="AC12" s="6" t="s">
        <v>229</v>
      </c>
      <c r="AD12" s="6" t="s">
        <v>31</v>
      </c>
      <c r="AE12" s="6" t="s">
        <v>229</v>
      </c>
      <c r="AF12" s="6" t="s">
        <v>229</v>
      </c>
      <c r="AG12" s="6" t="s">
        <v>31</v>
      </c>
      <c r="AH12" s="6" t="s">
        <v>229</v>
      </c>
      <c r="AI12" s="6" t="s">
        <v>229</v>
      </c>
      <c r="AJ12" s="6"/>
      <c r="AK12" s="6"/>
      <c r="AL12" s="6"/>
      <c r="AM12" s="6"/>
      <c r="AN12" s="6"/>
      <c r="AO12" s="6"/>
      <c r="AP12" s="6"/>
      <c r="AQ12" s="6"/>
      <c r="AR12" s="6"/>
      <c r="AS12" s="6" t="s">
        <v>29</v>
      </c>
      <c r="AT12" s="6">
        <v>1</v>
      </c>
      <c r="AU12" s="6" t="s">
        <v>191</v>
      </c>
      <c r="AV12" s="6" t="s">
        <v>31</v>
      </c>
      <c r="AW12" s="6" t="s">
        <v>229</v>
      </c>
      <c r="AX12" s="6" t="s">
        <v>229</v>
      </c>
      <c r="AY12" s="6" t="s">
        <v>31</v>
      </c>
      <c r="AZ12" s="6" t="s">
        <v>229</v>
      </c>
      <c r="BA12" s="6" t="s">
        <v>229</v>
      </c>
      <c r="BB12" s="6" t="s">
        <v>29</v>
      </c>
      <c r="BC12" s="6">
        <v>1</v>
      </c>
      <c r="BD12" s="6" t="s">
        <v>191</v>
      </c>
      <c r="BE12" s="6">
        <v>600</v>
      </c>
      <c r="BF12" s="6">
        <f>BE12+'Farmer Demand'!K12</f>
        <v>800</v>
      </c>
    </row>
    <row r="13" spans="1:58" s="15" customFormat="1" ht="12.75" x14ac:dyDescent="0.2">
      <c r="A13" s="6">
        <f>'Farmer Demand'!A13</f>
        <v>11</v>
      </c>
      <c r="B13" s="6" t="str">
        <f>'Farmer Demand'!B13</f>
        <v>Dhaniyan Bai</v>
      </c>
      <c r="C13" s="6" t="str">
        <f>'Farmer Demand'!C13</f>
        <v>Dukhiya Tekam</v>
      </c>
      <c r="D13" s="6">
        <f>'Farmer Demand'!D13</f>
        <v>0</v>
      </c>
      <c r="E13" s="6" t="str">
        <f>'Farmer Demand'!E13</f>
        <v>Yes</v>
      </c>
      <c r="F13" s="6" t="str">
        <f>'Farmer Demand'!F13</f>
        <v xml:space="preserve">Silghiti </v>
      </c>
      <c r="G13" s="6" t="str">
        <f>'Farmer Demand'!G13</f>
        <v>Jwala</v>
      </c>
      <c r="H13" s="6" t="str">
        <f>'Farmer Demand'!H13</f>
        <v>Kharif</v>
      </c>
      <c r="I13" s="6" t="s">
        <v>29</v>
      </c>
      <c r="J13" s="10" t="s">
        <v>173</v>
      </c>
      <c r="K13" s="6" t="s">
        <v>29</v>
      </c>
      <c r="L13" s="6" t="str">
        <f>'Farmer Demand'!M13</f>
        <v>120 days</v>
      </c>
      <c r="M13" s="6">
        <v>1</v>
      </c>
      <c r="N13" s="6" t="s">
        <v>191</v>
      </c>
      <c r="O13" s="6"/>
      <c r="P13" s="6"/>
      <c r="Q13" s="6"/>
      <c r="R13" s="6" t="s">
        <v>31</v>
      </c>
      <c r="S13" s="6"/>
      <c r="T13" s="6" t="s">
        <v>254</v>
      </c>
      <c r="U13" s="6" t="s">
        <v>29</v>
      </c>
      <c r="V13" s="21">
        <v>1</v>
      </c>
      <c r="W13" s="22" t="s">
        <v>191</v>
      </c>
      <c r="X13" s="6" t="s">
        <v>31</v>
      </c>
      <c r="Y13" s="6" t="s">
        <v>229</v>
      </c>
      <c r="Z13" s="6" t="s">
        <v>229</v>
      </c>
      <c r="AA13" s="6" t="s">
        <v>31</v>
      </c>
      <c r="AB13" s="6" t="s">
        <v>229</v>
      </c>
      <c r="AC13" s="6" t="s">
        <v>229</v>
      </c>
      <c r="AD13" s="6" t="s">
        <v>31</v>
      </c>
      <c r="AE13" s="6" t="s">
        <v>229</v>
      </c>
      <c r="AF13" s="6" t="s">
        <v>229</v>
      </c>
      <c r="AG13" s="6" t="s">
        <v>29</v>
      </c>
      <c r="AH13" s="21">
        <v>1</v>
      </c>
      <c r="AI13" s="21" t="s">
        <v>191</v>
      </c>
      <c r="AJ13" s="6"/>
      <c r="AK13" s="6"/>
      <c r="AL13" s="6"/>
      <c r="AM13" s="6"/>
      <c r="AN13" s="6"/>
      <c r="AO13" s="6"/>
      <c r="AP13" s="6"/>
      <c r="AQ13" s="6"/>
      <c r="AR13" s="6"/>
      <c r="AS13" s="6" t="s">
        <v>29</v>
      </c>
      <c r="AT13" s="6">
        <v>1</v>
      </c>
      <c r="AU13" s="6" t="s">
        <v>191</v>
      </c>
      <c r="AV13" s="6" t="s">
        <v>31</v>
      </c>
      <c r="AW13" s="6" t="s">
        <v>229</v>
      </c>
      <c r="AX13" s="6" t="s">
        <v>229</v>
      </c>
      <c r="AY13" s="6" t="s">
        <v>31</v>
      </c>
      <c r="AZ13" s="6" t="s">
        <v>229</v>
      </c>
      <c r="BA13" s="6" t="s">
        <v>229</v>
      </c>
      <c r="BB13" s="6" t="s">
        <v>29</v>
      </c>
      <c r="BC13" s="6">
        <v>1</v>
      </c>
      <c r="BD13" s="6" t="s">
        <v>191</v>
      </c>
      <c r="BE13" s="6">
        <v>700</v>
      </c>
      <c r="BF13" s="6">
        <f>BE13+'Farmer Demand'!K13</f>
        <v>900</v>
      </c>
    </row>
    <row r="14" spans="1:58" s="15" customFormat="1" ht="12.75" x14ac:dyDescent="0.2">
      <c r="A14" s="6">
        <f>'Farmer Demand'!A14</f>
        <v>12</v>
      </c>
      <c r="B14" s="6" t="str">
        <f>'Farmer Demand'!B14</f>
        <v>Dhaniyan Bai</v>
      </c>
      <c r="C14" s="6" t="str">
        <f>'Farmer Demand'!C14</f>
        <v xml:space="preserve">Meera Bai </v>
      </c>
      <c r="D14" s="6">
        <f>'Farmer Demand'!D14</f>
        <v>0</v>
      </c>
      <c r="E14" s="6" t="str">
        <f>'Farmer Demand'!E14</f>
        <v>Yes</v>
      </c>
      <c r="F14" s="6" t="str">
        <f>'Farmer Demand'!F14</f>
        <v xml:space="preserve">Silghiti </v>
      </c>
      <c r="G14" s="6" t="str">
        <f>'Farmer Demand'!G14</f>
        <v>Jagdamba</v>
      </c>
      <c r="H14" s="6" t="str">
        <f>'Farmer Demand'!H14</f>
        <v>Kharif</v>
      </c>
      <c r="I14" s="6" t="s">
        <v>29</v>
      </c>
      <c r="J14" s="10" t="s">
        <v>173</v>
      </c>
      <c r="K14" s="6" t="s">
        <v>29</v>
      </c>
      <c r="L14" s="6" t="str">
        <f>'Farmer Demand'!M14</f>
        <v>120 days</v>
      </c>
      <c r="M14" s="6">
        <v>10</v>
      </c>
      <c r="N14" s="6" t="s">
        <v>190</v>
      </c>
      <c r="O14" s="6"/>
      <c r="P14" s="6"/>
      <c r="Q14" s="6"/>
      <c r="R14" s="6" t="s">
        <v>31</v>
      </c>
      <c r="S14" s="6"/>
      <c r="T14" s="6" t="s">
        <v>254</v>
      </c>
      <c r="U14" s="6" t="s">
        <v>29</v>
      </c>
      <c r="V14" s="21">
        <v>1</v>
      </c>
      <c r="W14" s="22" t="s">
        <v>191</v>
      </c>
      <c r="X14" s="6" t="s">
        <v>31</v>
      </c>
      <c r="Y14" s="6" t="s">
        <v>229</v>
      </c>
      <c r="Z14" s="6" t="s">
        <v>229</v>
      </c>
      <c r="AA14" s="6" t="s">
        <v>31</v>
      </c>
      <c r="AB14" s="6" t="s">
        <v>229</v>
      </c>
      <c r="AC14" s="6" t="s">
        <v>229</v>
      </c>
      <c r="AD14" s="6" t="s">
        <v>31</v>
      </c>
      <c r="AE14" s="6" t="s">
        <v>229</v>
      </c>
      <c r="AF14" s="6" t="s">
        <v>229</v>
      </c>
      <c r="AG14" s="6" t="s">
        <v>29</v>
      </c>
      <c r="AH14" s="6">
        <v>1</v>
      </c>
      <c r="AI14" s="21" t="s">
        <v>191</v>
      </c>
      <c r="AJ14" s="6"/>
      <c r="AK14" s="6"/>
      <c r="AL14" s="6"/>
      <c r="AM14" s="6"/>
      <c r="AN14" s="6"/>
      <c r="AO14" s="6"/>
      <c r="AP14" s="6"/>
      <c r="AQ14" s="6"/>
      <c r="AR14" s="6"/>
      <c r="AS14" s="6" t="s">
        <v>29</v>
      </c>
      <c r="AT14" s="6">
        <v>1</v>
      </c>
      <c r="AU14" s="6" t="s">
        <v>191</v>
      </c>
      <c r="AV14" s="6" t="s">
        <v>31</v>
      </c>
      <c r="AW14" s="6" t="s">
        <v>229</v>
      </c>
      <c r="AX14" s="6" t="s">
        <v>229</v>
      </c>
      <c r="AY14" s="6" t="s">
        <v>31</v>
      </c>
      <c r="AZ14" s="6" t="s">
        <v>229</v>
      </c>
      <c r="BA14" s="6" t="s">
        <v>229</v>
      </c>
      <c r="BB14" s="6" t="s">
        <v>29</v>
      </c>
      <c r="BC14" s="6">
        <v>1</v>
      </c>
      <c r="BD14" s="6" t="s">
        <v>191</v>
      </c>
      <c r="BE14" s="6">
        <v>900</v>
      </c>
      <c r="BF14" s="6">
        <f>BE14+'Farmer Demand'!K14</f>
        <v>1100</v>
      </c>
    </row>
    <row r="15" spans="1:58" s="15" customFormat="1" ht="12.75" x14ac:dyDescent="0.2">
      <c r="A15" s="6">
        <f>'Farmer Demand'!A15</f>
        <v>13</v>
      </c>
      <c r="B15" s="6" t="str">
        <f>'Farmer Demand'!B15</f>
        <v>Dhaniyan Bai</v>
      </c>
      <c r="C15" s="6" t="str">
        <f>'Farmer Demand'!C15</f>
        <v>Chindo Bai</v>
      </c>
      <c r="D15" s="6">
        <f>'Farmer Demand'!D15</f>
        <v>0</v>
      </c>
      <c r="E15" s="6" t="str">
        <f>'Farmer Demand'!E15</f>
        <v>Yes</v>
      </c>
      <c r="F15" s="6" t="str">
        <f>'Farmer Demand'!F15</f>
        <v xml:space="preserve">Silghiti </v>
      </c>
      <c r="G15" s="6" t="str">
        <f>'Farmer Demand'!G15</f>
        <v>Jagdamba</v>
      </c>
      <c r="H15" s="6" t="str">
        <f>'Farmer Demand'!H15</f>
        <v>Kharif</v>
      </c>
      <c r="I15" s="6" t="s">
        <v>29</v>
      </c>
      <c r="J15" s="10" t="s">
        <v>173</v>
      </c>
      <c r="K15" s="6" t="s">
        <v>29</v>
      </c>
      <c r="L15" s="6" t="str">
        <f>'Farmer Demand'!M15</f>
        <v>120 days</v>
      </c>
      <c r="M15" s="6">
        <v>5</v>
      </c>
      <c r="N15" s="6" t="s">
        <v>190</v>
      </c>
      <c r="O15" s="6"/>
      <c r="P15" s="6"/>
      <c r="Q15" s="6"/>
      <c r="R15" s="6" t="s">
        <v>31</v>
      </c>
      <c r="S15" s="6"/>
      <c r="T15" s="6" t="s">
        <v>254</v>
      </c>
      <c r="U15" s="6" t="s">
        <v>31</v>
      </c>
      <c r="V15" s="6" t="s">
        <v>229</v>
      </c>
      <c r="W15" s="6" t="s">
        <v>229</v>
      </c>
      <c r="X15" s="6" t="s">
        <v>31</v>
      </c>
      <c r="Y15" s="6" t="s">
        <v>229</v>
      </c>
      <c r="Z15" s="6" t="s">
        <v>229</v>
      </c>
      <c r="AA15" s="6" t="s">
        <v>31</v>
      </c>
      <c r="AB15" s="6" t="s">
        <v>229</v>
      </c>
      <c r="AC15" s="6" t="s">
        <v>229</v>
      </c>
      <c r="AD15" s="6" t="s">
        <v>31</v>
      </c>
      <c r="AE15" s="6" t="s">
        <v>229</v>
      </c>
      <c r="AF15" s="6" t="s">
        <v>229</v>
      </c>
      <c r="AG15" s="6" t="s">
        <v>31</v>
      </c>
      <c r="AH15" s="6" t="s">
        <v>229</v>
      </c>
      <c r="AI15" s="6" t="s">
        <v>229</v>
      </c>
      <c r="AJ15" s="6"/>
      <c r="AK15" s="6"/>
      <c r="AL15" s="6"/>
      <c r="AM15" s="6"/>
      <c r="AN15" s="6"/>
      <c r="AO15" s="6"/>
      <c r="AP15" s="6"/>
      <c r="AQ15" s="6"/>
      <c r="AR15" s="6"/>
      <c r="AS15" s="6" t="s">
        <v>29</v>
      </c>
      <c r="AT15" s="6">
        <v>1</v>
      </c>
      <c r="AU15" s="6" t="s">
        <v>191</v>
      </c>
      <c r="AV15" s="6" t="s">
        <v>31</v>
      </c>
      <c r="AW15" s="6" t="s">
        <v>229</v>
      </c>
      <c r="AX15" s="6" t="s">
        <v>229</v>
      </c>
      <c r="AY15" s="6" t="s">
        <v>29</v>
      </c>
      <c r="AZ15" s="6">
        <v>1</v>
      </c>
      <c r="BA15" s="6" t="s">
        <v>191</v>
      </c>
      <c r="BB15" s="6" t="s">
        <v>29</v>
      </c>
      <c r="BC15" s="6">
        <v>1</v>
      </c>
      <c r="BD15" s="6" t="s">
        <v>191</v>
      </c>
      <c r="BE15" s="6">
        <v>800</v>
      </c>
      <c r="BF15" s="6">
        <f>BE15+'Farmer Demand'!K15</f>
        <v>1000</v>
      </c>
    </row>
    <row r="16" spans="1:58" s="15" customFormat="1" ht="12.75" x14ac:dyDescent="0.2">
      <c r="A16" s="6">
        <f>'Farmer Demand'!A16</f>
        <v>14</v>
      </c>
      <c r="B16" s="6" t="str">
        <f>'Farmer Demand'!B16</f>
        <v>Dhaniyan Bai</v>
      </c>
      <c r="C16" s="6" t="str">
        <f>'Farmer Demand'!C16</f>
        <v>Anita Tekam</v>
      </c>
      <c r="D16" s="6">
        <f>'Farmer Demand'!D16</f>
        <v>0</v>
      </c>
      <c r="E16" s="6" t="str">
        <f>'Farmer Demand'!E16</f>
        <v>Yes</v>
      </c>
      <c r="F16" s="6" t="str">
        <f>'Farmer Demand'!F16</f>
        <v xml:space="preserve">Silghiti </v>
      </c>
      <c r="G16" s="6" t="str">
        <f>'Farmer Demand'!G16</f>
        <v>Jagdamba</v>
      </c>
      <c r="H16" s="6" t="str">
        <f>'Farmer Demand'!H16</f>
        <v>Kharif</v>
      </c>
      <c r="I16" s="6" t="s">
        <v>29</v>
      </c>
      <c r="J16" s="10" t="s">
        <v>173</v>
      </c>
      <c r="K16" s="6" t="s">
        <v>29</v>
      </c>
      <c r="L16" s="6" t="str">
        <f>'Farmer Demand'!M16</f>
        <v>90 days</v>
      </c>
      <c r="M16" s="6">
        <v>15</v>
      </c>
      <c r="N16" s="6" t="s">
        <v>190</v>
      </c>
      <c r="O16" s="6"/>
      <c r="P16" s="6"/>
      <c r="Q16" s="6"/>
      <c r="R16" s="6" t="s">
        <v>31</v>
      </c>
      <c r="S16" s="6"/>
      <c r="T16" s="6" t="s">
        <v>254</v>
      </c>
      <c r="U16" s="6" t="s">
        <v>31</v>
      </c>
      <c r="V16" s="6" t="s">
        <v>229</v>
      </c>
      <c r="W16" s="6" t="s">
        <v>229</v>
      </c>
      <c r="X16" s="6" t="s">
        <v>31</v>
      </c>
      <c r="Y16" s="6" t="s">
        <v>229</v>
      </c>
      <c r="Z16" s="6" t="s">
        <v>229</v>
      </c>
      <c r="AA16" s="6" t="s">
        <v>31</v>
      </c>
      <c r="AB16" s="6" t="s">
        <v>229</v>
      </c>
      <c r="AC16" s="6" t="s">
        <v>229</v>
      </c>
      <c r="AD16" s="6" t="s">
        <v>31</v>
      </c>
      <c r="AE16" s="6" t="s">
        <v>229</v>
      </c>
      <c r="AF16" s="6" t="s">
        <v>229</v>
      </c>
      <c r="AG16" s="6" t="s">
        <v>29</v>
      </c>
      <c r="AH16" s="21">
        <v>1</v>
      </c>
      <c r="AI16" s="21" t="s">
        <v>191</v>
      </c>
      <c r="AJ16" s="6"/>
      <c r="AK16" s="6"/>
      <c r="AL16" s="6"/>
      <c r="AM16" s="6"/>
      <c r="AN16" s="6"/>
      <c r="AO16" s="6"/>
      <c r="AP16" s="6"/>
      <c r="AQ16" s="6"/>
      <c r="AR16" s="6"/>
      <c r="AS16" s="6" t="s">
        <v>29</v>
      </c>
      <c r="AT16" s="6">
        <v>1</v>
      </c>
      <c r="AU16" s="6" t="s">
        <v>191</v>
      </c>
      <c r="AV16" s="6" t="s">
        <v>31</v>
      </c>
      <c r="AW16" s="6" t="s">
        <v>229</v>
      </c>
      <c r="AX16" s="6" t="s">
        <v>229</v>
      </c>
      <c r="AY16" s="6" t="s">
        <v>29</v>
      </c>
      <c r="AZ16" s="6">
        <v>1</v>
      </c>
      <c r="BA16" s="6" t="s">
        <v>191</v>
      </c>
      <c r="BB16" s="6" t="s">
        <v>29</v>
      </c>
      <c r="BC16" s="6">
        <v>1</v>
      </c>
      <c r="BD16" s="6" t="s">
        <v>191</v>
      </c>
      <c r="BE16" s="6">
        <v>600</v>
      </c>
      <c r="BF16" s="6">
        <f>BE16+'Farmer Demand'!K16</f>
        <v>800</v>
      </c>
    </row>
    <row r="17" spans="1:58" s="15" customFormat="1" ht="12.75" x14ac:dyDescent="0.2">
      <c r="A17" s="6">
        <f>'Farmer Demand'!A17</f>
        <v>15</v>
      </c>
      <c r="B17" s="6" t="str">
        <f>'Farmer Demand'!B17</f>
        <v>Dhaniyan Bai</v>
      </c>
      <c r="C17" s="6" t="str">
        <f>'Farmer Demand'!C17</f>
        <v xml:space="preserve">Maliya Bai </v>
      </c>
      <c r="D17" s="6">
        <f>'Farmer Demand'!D17</f>
        <v>0</v>
      </c>
      <c r="E17" s="6" t="str">
        <f>'Farmer Demand'!E17</f>
        <v>Yes</v>
      </c>
      <c r="F17" s="6" t="str">
        <f>'Farmer Demand'!F17</f>
        <v xml:space="preserve">Silghiti </v>
      </c>
      <c r="G17" s="6" t="str">
        <f>'Farmer Demand'!G17</f>
        <v>Narayani SHG</v>
      </c>
      <c r="H17" s="6" t="str">
        <f>'Farmer Demand'!H17</f>
        <v>Kharif</v>
      </c>
      <c r="I17" s="6" t="s">
        <v>29</v>
      </c>
      <c r="J17" s="10" t="s">
        <v>173</v>
      </c>
      <c r="K17" s="6" t="s">
        <v>29</v>
      </c>
      <c r="L17" s="6" t="str">
        <f>'Farmer Demand'!M17</f>
        <v>120 days</v>
      </c>
      <c r="M17" s="6">
        <v>1</v>
      </c>
      <c r="N17" s="6" t="s">
        <v>191</v>
      </c>
      <c r="O17" s="6"/>
      <c r="P17" s="6"/>
      <c r="Q17" s="6"/>
      <c r="R17" s="6" t="s">
        <v>31</v>
      </c>
      <c r="S17" s="6"/>
      <c r="T17" s="6" t="s">
        <v>254</v>
      </c>
      <c r="U17" s="6" t="s">
        <v>31</v>
      </c>
      <c r="V17" s="6" t="s">
        <v>229</v>
      </c>
      <c r="W17" s="6" t="s">
        <v>229</v>
      </c>
      <c r="X17" s="6" t="s">
        <v>31</v>
      </c>
      <c r="Y17" s="6" t="s">
        <v>229</v>
      </c>
      <c r="Z17" s="6" t="s">
        <v>229</v>
      </c>
      <c r="AA17" s="6" t="s">
        <v>31</v>
      </c>
      <c r="AB17" s="6" t="s">
        <v>229</v>
      </c>
      <c r="AC17" s="6" t="s">
        <v>229</v>
      </c>
      <c r="AD17" s="6" t="s">
        <v>31</v>
      </c>
      <c r="AE17" s="6" t="s">
        <v>229</v>
      </c>
      <c r="AF17" s="6" t="s">
        <v>229</v>
      </c>
      <c r="AG17" s="6" t="s">
        <v>31</v>
      </c>
      <c r="AH17" s="6" t="s">
        <v>229</v>
      </c>
      <c r="AI17" s="6" t="s">
        <v>229</v>
      </c>
      <c r="AJ17" s="6"/>
      <c r="AK17" s="6"/>
      <c r="AL17" s="6"/>
      <c r="AM17" s="6"/>
      <c r="AN17" s="6"/>
      <c r="AO17" s="6"/>
      <c r="AP17" s="6"/>
      <c r="AQ17" s="6"/>
      <c r="AR17" s="6"/>
      <c r="AS17" s="6" t="s">
        <v>29</v>
      </c>
      <c r="AT17" s="6">
        <v>1</v>
      </c>
      <c r="AU17" s="6" t="s">
        <v>191</v>
      </c>
      <c r="AV17" s="6" t="s">
        <v>29</v>
      </c>
      <c r="AW17" s="6">
        <v>1</v>
      </c>
      <c r="AX17" s="6" t="s">
        <v>191</v>
      </c>
      <c r="AY17" s="6" t="s">
        <v>29</v>
      </c>
      <c r="AZ17" s="6">
        <v>1</v>
      </c>
      <c r="BA17" s="6" t="s">
        <v>191</v>
      </c>
      <c r="BB17" s="6" t="s">
        <v>29</v>
      </c>
      <c r="BC17" s="6">
        <v>1</v>
      </c>
      <c r="BD17" s="6" t="s">
        <v>191</v>
      </c>
      <c r="BE17" s="6">
        <v>700</v>
      </c>
      <c r="BF17" s="6">
        <f>BE17+'Farmer Demand'!K17</f>
        <v>900</v>
      </c>
    </row>
    <row r="18" spans="1:58" s="15" customFormat="1" ht="12.75" x14ac:dyDescent="0.2">
      <c r="A18" s="6">
        <f>'Farmer Demand'!A18</f>
        <v>16</v>
      </c>
      <c r="B18" s="6" t="str">
        <f>'Farmer Demand'!B18</f>
        <v>Dhaniyan Bai</v>
      </c>
      <c r="C18" s="6" t="str">
        <f>'Farmer Demand'!C18</f>
        <v>Thagiya  Bai</v>
      </c>
      <c r="D18" s="6">
        <f>'Farmer Demand'!D18</f>
        <v>0</v>
      </c>
      <c r="E18" s="6" t="str">
        <f>'Farmer Demand'!E18</f>
        <v>Yes</v>
      </c>
      <c r="F18" s="6" t="str">
        <f>'Farmer Demand'!F18</f>
        <v xml:space="preserve">Silghiti </v>
      </c>
      <c r="G18" s="6" t="str">
        <f>'Farmer Demand'!G18</f>
        <v>Jwala Tejaswani</v>
      </c>
      <c r="H18" s="6" t="str">
        <f>'Farmer Demand'!H18</f>
        <v>Kharif</v>
      </c>
      <c r="I18" s="6" t="s">
        <v>29</v>
      </c>
      <c r="J18" s="10" t="s">
        <v>173</v>
      </c>
      <c r="K18" s="6" t="s">
        <v>29</v>
      </c>
      <c r="L18" s="6" t="str">
        <f>'Farmer Demand'!M18</f>
        <v>120 days</v>
      </c>
      <c r="M18" s="6">
        <v>1</v>
      </c>
      <c r="N18" s="6" t="s">
        <v>191</v>
      </c>
      <c r="O18" s="6"/>
      <c r="P18" s="6"/>
      <c r="Q18" s="6"/>
      <c r="R18" s="6" t="s">
        <v>31</v>
      </c>
      <c r="S18" s="6"/>
      <c r="T18" s="6" t="s">
        <v>254</v>
      </c>
      <c r="U18" s="6" t="s">
        <v>29</v>
      </c>
      <c r="V18" s="21">
        <v>1</v>
      </c>
      <c r="W18" s="22" t="s">
        <v>191</v>
      </c>
      <c r="X18" s="6" t="s">
        <v>31</v>
      </c>
      <c r="Y18" s="6" t="s">
        <v>229</v>
      </c>
      <c r="Z18" s="6" t="s">
        <v>229</v>
      </c>
      <c r="AA18" s="6" t="s">
        <v>31</v>
      </c>
      <c r="AB18" s="6" t="s">
        <v>229</v>
      </c>
      <c r="AC18" s="6" t="s">
        <v>229</v>
      </c>
      <c r="AD18" s="6" t="s">
        <v>31</v>
      </c>
      <c r="AE18" s="6" t="s">
        <v>229</v>
      </c>
      <c r="AF18" s="6" t="s">
        <v>229</v>
      </c>
      <c r="AG18" s="6" t="s">
        <v>29</v>
      </c>
      <c r="AH18" s="21">
        <v>1</v>
      </c>
      <c r="AI18" s="21" t="s">
        <v>191</v>
      </c>
      <c r="AJ18" s="6"/>
      <c r="AK18" s="6"/>
      <c r="AL18" s="6"/>
      <c r="AM18" s="6"/>
      <c r="AN18" s="6"/>
      <c r="AO18" s="6"/>
      <c r="AP18" s="6"/>
      <c r="AQ18" s="6"/>
      <c r="AR18" s="6"/>
      <c r="AS18" s="6" t="s">
        <v>29</v>
      </c>
      <c r="AT18" s="6">
        <v>1</v>
      </c>
      <c r="AU18" s="6" t="s">
        <v>191</v>
      </c>
      <c r="AV18" s="6" t="s">
        <v>29</v>
      </c>
      <c r="AW18" s="6">
        <v>1</v>
      </c>
      <c r="AX18" s="6" t="s">
        <v>191</v>
      </c>
      <c r="AY18" s="6" t="s">
        <v>29</v>
      </c>
      <c r="AZ18" s="6">
        <v>1</v>
      </c>
      <c r="BA18" s="6" t="s">
        <v>191</v>
      </c>
      <c r="BB18" s="6" t="s">
        <v>29</v>
      </c>
      <c r="BC18" s="6">
        <v>1</v>
      </c>
      <c r="BD18" s="6" t="s">
        <v>191</v>
      </c>
      <c r="BE18" s="6">
        <v>900</v>
      </c>
      <c r="BF18" s="6">
        <f>BE18+'Farmer Demand'!K18</f>
        <v>1100</v>
      </c>
    </row>
    <row r="19" spans="1:58" s="15" customFormat="1" ht="24" customHeight="1" x14ac:dyDescent="0.2">
      <c r="A19" s="6">
        <f>'Farmer Demand'!A19</f>
        <v>17</v>
      </c>
      <c r="B19" s="6" t="str">
        <f>'Farmer Demand'!B19</f>
        <v>Haribati Marabi</v>
      </c>
      <c r="C19" s="6" t="str">
        <f>'Farmer Demand'!C19</f>
        <v>Hariwati Bai</v>
      </c>
      <c r="D19" s="6">
        <f>'Farmer Demand'!D19</f>
        <v>0</v>
      </c>
      <c r="E19" s="6" t="str">
        <f>'Farmer Demand'!E19</f>
        <v>Yes</v>
      </c>
      <c r="F19" s="6" t="str">
        <f>'Farmer Demand'!F19</f>
        <v>Sakri</v>
      </c>
      <c r="G19" s="6" t="str">
        <f>'Farmer Demand'!G19</f>
        <v>Nirmala</v>
      </c>
      <c r="H19" s="6" t="str">
        <f>'Farmer Demand'!H19</f>
        <v>Kharif</v>
      </c>
      <c r="I19" s="6" t="s">
        <v>31</v>
      </c>
      <c r="J19" s="16" t="s">
        <v>45</v>
      </c>
      <c r="K19" s="6" t="s">
        <v>31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 t="s">
        <v>31</v>
      </c>
      <c r="AE19" s="6" t="s">
        <v>229</v>
      </c>
      <c r="AF19" s="6" t="s">
        <v>229</v>
      </c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>
        <f>BE19+'Farmer Demand'!K19</f>
        <v>200</v>
      </c>
    </row>
    <row r="20" spans="1:58" s="15" customFormat="1" ht="25.5" x14ac:dyDescent="0.2">
      <c r="A20" s="6">
        <f>'Farmer Demand'!A20</f>
        <v>18</v>
      </c>
      <c r="B20" s="6" t="str">
        <f>'Farmer Demand'!B20</f>
        <v>Haribati Marabi</v>
      </c>
      <c r="C20" s="6" t="str">
        <f>'Farmer Demand'!C20</f>
        <v>Radha Bai</v>
      </c>
      <c r="D20" s="6">
        <f>'Farmer Demand'!D20</f>
        <v>0</v>
      </c>
      <c r="E20" s="6" t="str">
        <f>'Farmer Demand'!E20</f>
        <v>Yes</v>
      </c>
      <c r="F20" s="6" t="str">
        <f>'Farmer Demand'!F20</f>
        <v>Sakri</v>
      </c>
      <c r="G20" s="6" t="str">
        <f>'Farmer Demand'!G20</f>
        <v>Nirmala</v>
      </c>
      <c r="H20" s="6" t="str">
        <f>'Farmer Demand'!H20</f>
        <v>Kharif</v>
      </c>
      <c r="I20" s="6" t="s">
        <v>31</v>
      </c>
      <c r="J20" s="16" t="s">
        <v>45</v>
      </c>
      <c r="K20" s="6" t="s">
        <v>31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 t="s">
        <v>31</v>
      </c>
      <c r="AE20" s="6" t="s">
        <v>229</v>
      </c>
      <c r="AF20" s="6" t="s">
        <v>229</v>
      </c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>
        <f>BE20+'Farmer Demand'!K20</f>
        <v>200</v>
      </c>
    </row>
    <row r="21" spans="1:58" s="15" customFormat="1" ht="25.5" x14ac:dyDescent="0.2">
      <c r="A21" s="6">
        <f>'Farmer Demand'!A21</f>
        <v>19</v>
      </c>
      <c r="B21" s="6" t="str">
        <f>'Farmer Demand'!B21</f>
        <v>Haribati Marabi</v>
      </c>
      <c r="C21" s="6" t="str">
        <f>'Farmer Demand'!C21</f>
        <v>Rajkumari Bai</v>
      </c>
      <c r="D21" s="6">
        <f>'Farmer Demand'!D21</f>
        <v>0</v>
      </c>
      <c r="E21" s="6" t="str">
        <f>'Farmer Demand'!E21</f>
        <v>Yes</v>
      </c>
      <c r="F21" s="6" t="str">
        <f>'Farmer Demand'!F21</f>
        <v>Sakri</v>
      </c>
      <c r="G21" s="6" t="str">
        <f>'Farmer Demand'!G21</f>
        <v>Nirmala</v>
      </c>
      <c r="H21" s="6" t="str">
        <f>'Farmer Demand'!H21</f>
        <v>Kharif</v>
      </c>
      <c r="I21" s="6" t="s">
        <v>31</v>
      </c>
      <c r="J21" s="16" t="s">
        <v>45</v>
      </c>
      <c r="K21" s="6" t="s">
        <v>31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 t="s">
        <v>31</v>
      </c>
      <c r="AE21" s="6" t="s">
        <v>229</v>
      </c>
      <c r="AF21" s="6" t="s">
        <v>229</v>
      </c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>
        <f>BE21+'Farmer Demand'!K21</f>
        <v>200</v>
      </c>
    </row>
    <row r="22" spans="1:58" s="15" customFormat="1" ht="25.5" x14ac:dyDescent="0.2">
      <c r="A22" s="6">
        <f>'Farmer Demand'!A22</f>
        <v>20</v>
      </c>
      <c r="B22" s="6" t="str">
        <f>'Farmer Demand'!B22</f>
        <v>Haribati Marabi</v>
      </c>
      <c r="C22" s="6" t="str">
        <f>'Farmer Demand'!C22</f>
        <v>Bhagwati</v>
      </c>
      <c r="D22" s="6">
        <f>'Farmer Demand'!D22</f>
        <v>0</v>
      </c>
      <c r="E22" s="6" t="str">
        <f>'Farmer Demand'!E22</f>
        <v>Yes</v>
      </c>
      <c r="F22" s="6" t="str">
        <f>'Farmer Demand'!F22</f>
        <v>Sakri</v>
      </c>
      <c r="G22" s="6" t="str">
        <f>'Farmer Demand'!G22</f>
        <v>Narmada</v>
      </c>
      <c r="H22" s="6" t="str">
        <f>'Farmer Demand'!H22</f>
        <v>Kharif</v>
      </c>
      <c r="I22" s="6" t="s">
        <v>31</v>
      </c>
      <c r="J22" s="16" t="s">
        <v>45</v>
      </c>
      <c r="K22" s="6" t="s">
        <v>31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 t="s">
        <v>31</v>
      </c>
      <c r="AE22" s="6" t="s">
        <v>229</v>
      </c>
      <c r="AF22" s="6" t="s">
        <v>229</v>
      </c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>
        <f>BE22+'Farmer Demand'!K22</f>
        <v>200</v>
      </c>
    </row>
    <row r="23" spans="1:58" s="15" customFormat="1" ht="25.5" x14ac:dyDescent="0.2">
      <c r="A23" s="6">
        <f>'Farmer Demand'!A23</f>
        <v>21</v>
      </c>
      <c r="B23" s="6" t="str">
        <f>'Farmer Demand'!B23</f>
        <v>Haribati Marabi</v>
      </c>
      <c r="C23" s="6" t="str">
        <f>'Farmer Demand'!C23</f>
        <v>Halki Bai</v>
      </c>
      <c r="D23" s="6">
        <f>'Farmer Demand'!D23</f>
        <v>0</v>
      </c>
      <c r="E23" s="6" t="str">
        <f>'Farmer Demand'!E23</f>
        <v>Yes</v>
      </c>
      <c r="F23" s="6" t="str">
        <f>'Farmer Demand'!F23</f>
        <v>Sakri</v>
      </c>
      <c r="G23" s="6" t="str">
        <f>'Farmer Demand'!G23</f>
        <v>Narmada</v>
      </c>
      <c r="H23" s="6" t="str">
        <f>'Farmer Demand'!H23</f>
        <v>Kharif</v>
      </c>
      <c r="I23" s="6" t="s">
        <v>31</v>
      </c>
      <c r="J23" s="16" t="s">
        <v>45</v>
      </c>
      <c r="K23" s="6" t="s">
        <v>31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 t="s">
        <v>31</v>
      </c>
      <c r="AE23" s="6" t="s">
        <v>229</v>
      </c>
      <c r="AF23" s="6" t="s">
        <v>229</v>
      </c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>
        <f>BE23+'Farmer Demand'!K23</f>
        <v>200</v>
      </c>
    </row>
    <row r="24" spans="1:58" s="15" customFormat="1" ht="12.75" x14ac:dyDescent="0.2">
      <c r="A24" s="6">
        <f>'Farmer Demand'!A24</f>
        <v>22</v>
      </c>
      <c r="B24" s="6" t="str">
        <f>'Farmer Demand'!B24</f>
        <v>Haribati Marabi</v>
      </c>
      <c r="C24" s="6" t="str">
        <f>'Farmer Demand'!C24</f>
        <v>Jeera Bai</v>
      </c>
      <c r="D24" s="6">
        <f>'Farmer Demand'!D24</f>
        <v>0</v>
      </c>
      <c r="E24" s="6" t="str">
        <f>'Farmer Demand'!E24</f>
        <v>No</v>
      </c>
      <c r="F24" s="6" t="str">
        <f>'Farmer Demand'!F24</f>
        <v>Sakri</v>
      </c>
      <c r="G24" s="6" t="str">
        <f>'Farmer Demand'!G24</f>
        <v>Narmada</v>
      </c>
      <c r="H24" s="6" t="str">
        <f>'Farmer Demand'!H24</f>
        <v>Kharif</v>
      </c>
      <c r="I24" s="6" t="s">
        <v>31</v>
      </c>
      <c r="J24" s="16" t="s">
        <v>39</v>
      </c>
      <c r="K24" s="6" t="s">
        <v>31</v>
      </c>
      <c r="L24" s="6" t="str">
        <f>'Farmer Demand'!M24</f>
        <v>120 days</v>
      </c>
      <c r="M24" s="6">
        <v>1</v>
      </c>
      <c r="N24" s="6" t="s">
        <v>191</v>
      </c>
      <c r="O24" s="6"/>
      <c r="P24" s="6"/>
      <c r="Q24" s="6"/>
      <c r="R24" s="6" t="s">
        <v>31</v>
      </c>
      <c r="S24" s="6"/>
      <c r="T24" s="6" t="s">
        <v>254</v>
      </c>
      <c r="U24" s="6" t="s">
        <v>31</v>
      </c>
      <c r="V24" s="6" t="s">
        <v>229</v>
      </c>
      <c r="W24" s="6" t="s">
        <v>229</v>
      </c>
      <c r="X24" s="6" t="s">
        <v>31</v>
      </c>
      <c r="Y24" s="6" t="s">
        <v>229</v>
      </c>
      <c r="Z24" s="6" t="s">
        <v>229</v>
      </c>
      <c r="AA24" s="6" t="s">
        <v>31</v>
      </c>
      <c r="AB24" s="6" t="s">
        <v>229</v>
      </c>
      <c r="AC24" s="6" t="s">
        <v>229</v>
      </c>
      <c r="AD24" s="6" t="s">
        <v>31</v>
      </c>
      <c r="AE24" s="6" t="s">
        <v>229</v>
      </c>
      <c r="AF24" s="6" t="s">
        <v>229</v>
      </c>
      <c r="AG24" s="6" t="s">
        <v>31</v>
      </c>
      <c r="AH24" s="6" t="s">
        <v>229</v>
      </c>
      <c r="AI24" s="6" t="s">
        <v>229</v>
      </c>
      <c r="AJ24" s="6"/>
      <c r="AK24" s="6"/>
      <c r="AL24" s="6"/>
      <c r="AM24" s="6"/>
      <c r="AN24" s="6"/>
      <c r="AO24" s="6"/>
      <c r="AP24" s="6"/>
      <c r="AQ24" s="6"/>
      <c r="AR24" s="6"/>
      <c r="AS24" s="6" t="s">
        <v>29</v>
      </c>
      <c r="AT24" s="6">
        <v>1</v>
      </c>
      <c r="AU24" s="6" t="s">
        <v>191</v>
      </c>
      <c r="AV24" s="6" t="s">
        <v>29</v>
      </c>
      <c r="AW24" s="6">
        <v>1</v>
      </c>
      <c r="AX24" s="6" t="s">
        <v>191</v>
      </c>
      <c r="AY24" s="6" t="s">
        <v>31</v>
      </c>
      <c r="AZ24" s="6" t="s">
        <v>229</v>
      </c>
      <c r="BA24" s="6" t="s">
        <v>229</v>
      </c>
      <c r="BB24" s="6" t="s">
        <v>29</v>
      </c>
      <c r="BC24" s="6">
        <v>1</v>
      </c>
      <c r="BD24" s="6" t="s">
        <v>191</v>
      </c>
      <c r="BE24" s="6">
        <v>800</v>
      </c>
      <c r="BF24" s="6">
        <f>BE24+'Farmer Demand'!K24</f>
        <v>1000</v>
      </c>
    </row>
    <row r="25" spans="1:58" s="15" customFormat="1" ht="12.75" x14ac:dyDescent="0.2">
      <c r="A25" s="6">
        <f>'Farmer Demand'!A25</f>
        <v>23</v>
      </c>
      <c r="B25" s="6" t="str">
        <f>'Farmer Demand'!B25</f>
        <v>Haribati Marabi</v>
      </c>
      <c r="C25" s="6" t="str">
        <f>'Farmer Demand'!C25</f>
        <v>Munni Bai</v>
      </c>
      <c r="D25" s="6">
        <f>'Farmer Demand'!D25</f>
        <v>0</v>
      </c>
      <c r="E25" s="6" t="str">
        <f>'Farmer Demand'!E25</f>
        <v>No</v>
      </c>
      <c r="F25" s="6" t="str">
        <f>'Farmer Demand'!F25</f>
        <v>Sakri</v>
      </c>
      <c r="G25" s="6" t="str">
        <f>'Farmer Demand'!G25</f>
        <v>Narmada</v>
      </c>
      <c r="H25" s="6" t="str">
        <f>'Farmer Demand'!H25</f>
        <v>Kharif</v>
      </c>
      <c r="I25" s="6" t="s">
        <v>31</v>
      </c>
      <c r="J25" s="16" t="s">
        <v>39</v>
      </c>
      <c r="K25" s="6" t="s">
        <v>31</v>
      </c>
      <c r="L25" s="6" t="str">
        <f>'Farmer Demand'!M25</f>
        <v>120 days</v>
      </c>
      <c r="M25" s="6">
        <v>1</v>
      </c>
      <c r="N25" s="6" t="s">
        <v>191</v>
      </c>
      <c r="O25" s="6"/>
      <c r="P25" s="6"/>
      <c r="Q25" s="6"/>
      <c r="R25" s="6" t="s">
        <v>31</v>
      </c>
      <c r="S25" s="6"/>
      <c r="T25" s="6" t="s">
        <v>254</v>
      </c>
      <c r="U25" s="6" t="s">
        <v>31</v>
      </c>
      <c r="V25" s="6" t="s">
        <v>229</v>
      </c>
      <c r="W25" s="6" t="s">
        <v>229</v>
      </c>
      <c r="X25" s="6" t="s">
        <v>31</v>
      </c>
      <c r="Y25" s="6" t="s">
        <v>229</v>
      </c>
      <c r="Z25" s="6" t="s">
        <v>229</v>
      </c>
      <c r="AA25" s="6" t="s">
        <v>31</v>
      </c>
      <c r="AB25" s="6" t="s">
        <v>229</v>
      </c>
      <c r="AC25" s="6" t="s">
        <v>229</v>
      </c>
      <c r="AD25" s="6" t="s">
        <v>31</v>
      </c>
      <c r="AE25" s="6" t="s">
        <v>229</v>
      </c>
      <c r="AF25" s="6" t="s">
        <v>229</v>
      </c>
      <c r="AG25" s="6" t="s">
        <v>31</v>
      </c>
      <c r="AH25" s="6" t="s">
        <v>229</v>
      </c>
      <c r="AI25" s="6" t="s">
        <v>229</v>
      </c>
      <c r="AJ25" s="6"/>
      <c r="AK25" s="6"/>
      <c r="AL25" s="6"/>
      <c r="AM25" s="6"/>
      <c r="AN25" s="6"/>
      <c r="AO25" s="6"/>
      <c r="AP25" s="6"/>
      <c r="AQ25" s="6"/>
      <c r="AR25" s="6"/>
      <c r="AS25" s="6" t="s">
        <v>29</v>
      </c>
      <c r="AT25" s="6">
        <v>1</v>
      </c>
      <c r="AU25" s="6" t="s">
        <v>191</v>
      </c>
      <c r="AV25" s="6" t="s">
        <v>29</v>
      </c>
      <c r="AW25" s="6">
        <v>1</v>
      </c>
      <c r="AX25" s="6" t="s">
        <v>191</v>
      </c>
      <c r="AY25" s="6" t="s">
        <v>31</v>
      </c>
      <c r="AZ25" s="6" t="s">
        <v>229</v>
      </c>
      <c r="BA25" s="6" t="s">
        <v>229</v>
      </c>
      <c r="BB25" s="6" t="s">
        <v>29</v>
      </c>
      <c r="BC25" s="6">
        <v>1</v>
      </c>
      <c r="BD25" s="6" t="s">
        <v>191</v>
      </c>
      <c r="BE25" s="6">
        <v>600</v>
      </c>
      <c r="BF25" s="6">
        <f>BE25+'Farmer Demand'!K25</f>
        <v>800</v>
      </c>
    </row>
    <row r="26" spans="1:58" s="15" customFormat="1" ht="12.75" x14ac:dyDescent="0.2">
      <c r="A26" s="6">
        <f>'Farmer Demand'!A26</f>
        <v>24</v>
      </c>
      <c r="B26" s="6" t="str">
        <f>'Farmer Demand'!B26</f>
        <v>Haribati Marabi</v>
      </c>
      <c r="C26" s="6" t="str">
        <f>'Farmer Demand'!C26</f>
        <v>Phulma</v>
      </c>
      <c r="D26" s="6">
        <f>'Farmer Demand'!D26</f>
        <v>0</v>
      </c>
      <c r="E26" s="6" t="str">
        <f>'Farmer Demand'!E26</f>
        <v>No</v>
      </c>
      <c r="F26" s="6" t="str">
        <f>'Farmer Demand'!F26</f>
        <v>Sakri</v>
      </c>
      <c r="G26" s="6" t="str">
        <f>'Farmer Demand'!G26</f>
        <v>Narmada</v>
      </c>
      <c r="H26" s="6" t="str">
        <f>'Farmer Demand'!H26</f>
        <v>Kharif</v>
      </c>
      <c r="I26" s="6" t="s">
        <v>31</v>
      </c>
      <c r="J26" s="16" t="s">
        <v>39</v>
      </c>
      <c r="K26" s="6" t="s">
        <v>31</v>
      </c>
      <c r="L26" s="6" t="str">
        <f>'Farmer Demand'!M26</f>
        <v>120 days</v>
      </c>
      <c r="M26" s="6">
        <v>1</v>
      </c>
      <c r="N26" s="6" t="s">
        <v>191</v>
      </c>
      <c r="O26" s="6"/>
      <c r="P26" s="6"/>
      <c r="Q26" s="6"/>
      <c r="R26" s="6" t="s">
        <v>31</v>
      </c>
      <c r="S26" s="6"/>
      <c r="T26" s="6" t="s">
        <v>254</v>
      </c>
      <c r="U26" s="6" t="s">
        <v>31</v>
      </c>
      <c r="V26" s="6" t="s">
        <v>229</v>
      </c>
      <c r="W26" s="6" t="s">
        <v>229</v>
      </c>
      <c r="X26" s="6" t="s">
        <v>31</v>
      </c>
      <c r="Y26" s="6" t="s">
        <v>229</v>
      </c>
      <c r="Z26" s="6" t="s">
        <v>229</v>
      </c>
      <c r="AA26" s="6" t="s">
        <v>31</v>
      </c>
      <c r="AB26" s="6" t="s">
        <v>229</v>
      </c>
      <c r="AC26" s="6" t="s">
        <v>229</v>
      </c>
      <c r="AD26" s="6" t="s">
        <v>31</v>
      </c>
      <c r="AE26" s="6" t="s">
        <v>229</v>
      </c>
      <c r="AF26" s="6" t="s">
        <v>229</v>
      </c>
      <c r="AG26" s="6" t="s">
        <v>31</v>
      </c>
      <c r="AH26" s="6" t="s">
        <v>229</v>
      </c>
      <c r="AI26" s="6" t="s">
        <v>229</v>
      </c>
      <c r="AJ26" s="6"/>
      <c r="AK26" s="6"/>
      <c r="AL26" s="6"/>
      <c r="AM26" s="6"/>
      <c r="AN26" s="6"/>
      <c r="AO26" s="6"/>
      <c r="AP26" s="6"/>
      <c r="AQ26" s="6"/>
      <c r="AR26" s="6"/>
      <c r="AS26" s="6" t="s">
        <v>29</v>
      </c>
      <c r="AT26" s="6">
        <v>1</v>
      </c>
      <c r="AU26" s="6" t="s">
        <v>191</v>
      </c>
      <c r="AV26" s="6" t="s">
        <v>31</v>
      </c>
      <c r="AW26" s="6" t="s">
        <v>229</v>
      </c>
      <c r="AX26" s="6" t="s">
        <v>229</v>
      </c>
      <c r="AY26" s="6" t="s">
        <v>31</v>
      </c>
      <c r="AZ26" s="6" t="s">
        <v>229</v>
      </c>
      <c r="BA26" s="6" t="s">
        <v>229</v>
      </c>
      <c r="BB26" s="6" t="s">
        <v>29</v>
      </c>
      <c r="BC26" s="6">
        <v>1</v>
      </c>
      <c r="BD26" s="6" t="s">
        <v>191</v>
      </c>
      <c r="BE26" s="6">
        <v>700</v>
      </c>
      <c r="BF26" s="6">
        <f>BE26+'Farmer Demand'!K26</f>
        <v>900</v>
      </c>
    </row>
    <row r="27" spans="1:58" s="15" customFormat="1" ht="12.75" x14ac:dyDescent="0.2">
      <c r="A27" s="6">
        <f>'Farmer Demand'!A27</f>
        <v>25</v>
      </c>
      <c r="B27" s="6" t="str">
        <f>'Farmer Demand'!B27</f>
        <v>Haribati Marabi</v>
      </c>
      <c r="C27" s="6" t="str">
        <f>'Farmer Demand'!C27</f>
        <v>Runiya Bai</v>
      </c>
      <c r="D27" s="6">
        <f>'Farmer Demand'!D27</f>
        <v>0</v>
      </c>
      <c r="E27" s="6" t="str">
        <f>'Farmer Demand'!E27</f>
        <v>No</v>
      </c>
      <c r="F27" s="6" t="str">
        <f>'Farmer Demand'!F27</f>
        <v>Sakri</v>
      </c>
      <c r="G27" s="6" t="str">
        <f>'Farmer Demand'!G27</f>
        <v>Narmada</v>
      </c>
      <c r="H27" s="6" t="str">
        <f>'Farmer Demand'!H27</f>
        <v>Kharif</v>
      </c>
      <c r="I27" s="6" t="s">
        <v>29</v>
      </c>
      <c r="J27" s="10" t="s">
        <v>173</v>
      </c>
      <c r="K27" s="6" t="s">
        <v>29</v>
      </c>
      <c r="L27" s="6" t="str">
        <f>'Farmer Demand'!M27</f>
        <v>120 days</v>
      </c>
      <c r="M27" s="6">
        <v>1</v>
      </c>
      <c r="N27" s="6" t="s">
        <v>191</v>
      </c>
      <c r="O27" s="6"/>
      <c r="P27" s="6"/>
      <c r="Q27" s="6"/>
      <c r="R27" s="6" t="s">
        <v>31</v>
      </c>
      <c r="S27" s="6"/>
      <c r="T27" s="6" t="s">
        <v>254</v>
      </c>
      <c r="U27" s="6" t="s">
        <v>31</v>
      </c>
      <c r="V27" s="6" t="s">
        <v>229</v>
      </c>
      <c r="W27" s="6" t="s">
        <v>229</v>
      </c>
      <c r="X27" s="6" t="s">
        <v>31</v>
      </c>
      <c r="Y27" s="6" t="s">
        <v>229</v>
      </c>
      <c r="Z27" s="6" t="s">
        <v>229</v>
      </c>
      <c r="AA27" s="6" t="s">
        <v>31</v>
      </c>
      <c r="AB27" s="6" t="s">
        <v>229</v>
      </c>
      <c r="AC27" s="6" t="s">
        <v>229</v>
      </c>
      <c r="AD27" s="6" t="s">
        <v>31</v>
      </c>
      <c r="AE27" s="6" t="s">
        <v>229</v>
      </c>
      <c r="AF27" s="6" t="s">
        <v>229</v>
      </c>
      <c r="AG27" s="6" t="s">
        <v>31</v>
      </c>
      <c r="AH27" s="6" t="s">
        <v>229</v>
      </c>
      <c r="AI27" s="6" t="s">
        <v>229</v>
      </c>
      <c r="AJ27" s="6"/>
      <c r="AK27" s="6"/>
      <c r="AL27" s="6"/>
      <c r="AM27" s="6"/>
      <c r="AN27" s="6"/>
      <c r="AO27" s="6"/>
      <c r="AP27" s="6"/>
      <c r="AQ27" s="6"/>
      <c r="AR27" s="6"/>
      <c r="AS27" s="6" t="s">
        <v>29</v>
      </c>
      <c r="AT27" s="6">
        <v>1</v>
      </c>
      <c r="AU27" s="6" t="s">
        <v>191</v>
      </c>
      <c r="AV27" s="6" t="s">
        <v>31</v>
      </c>
      <c r="AW27" s="6" t="s">
        <v>229</v>
      </c>
      <c r="AX27" s="6" t="s">
        <v>229</v>
      </c>
      <c r="AY27" s="6" t="s">
        <v>31</v>
      </c>
      <c r="AZ27" s="6" t="s">
        <v>229</v>
      </c>
      <c r="BA27" s="6" t="s">
        <v>229</v>
      </c>
      <c r="BB27" s="6" t="s">
        <v>29</v>
      </c>
      <c r="BC27" s="6">
        <v>1</v>
      </c>
      <c r="BD27" s="6" t="s">
        <v>191</v>
      </c>
      <c r="BE27" s="6">
        <v>900</v>
      </c>
      <c r="BF27" s="6">
        <f>BE27+'Farmer Demand'!K27</f>
        <v>1100</v>
      </c>
    </row>
    <row r="28" spans="1:58" s="15" customFormat="1" ht="12.75" x14ac:dyDescent="0.2">
      <c r="A28" s="6">
        <f>'Farmer Demand'!A28</f>
        <v>26</v>
      </c>
      <c r="B28" s="6" t="str">
        <f>'Farmer Demand'!B28</f>
        <v>Haribati Marabi</v>
      </c>
      <c r="C28" s="6" t="str">
        <f>'Farmer Demand'!C28</f>
        <v>Rupi Bai</v>
      </c>
      <c r="D28" s="6">
        <f>'Farmer Demand'!D28</f>
        <v>0</v>
      </c>
      <c r="E28" s="6" t="str">
        <f>'Farmer Demand'!E28</f>
        <v>No</v>
      </c>
      <c r="F28" s="6" t="str">
        <f>'Farmer Demand'!F28</f>
        <v>Sakri</v>
      </c>
      <c r="G28" s="6" t="str">
        <f>'Farmer Demand'!G28</f>
        <v>Narmada</v>
      </c>
      <c r="H28" s="6" t="str">
        <f>'Farmer Demand'!H28</f>
        <v>Kharif</v>
      </c>
      <c r="I28" s="6" t="s">
        <v>29</v>
      </c>
      <c r="J28" s="10" t="s">
        <v>173</v>
      </c>
      <c r="K28" s="6" t="s">
        <v>29</v>
      </c>
      <c r="L28" s="6" t="str">
        <f>'Farmer Demand'!M28</f>
        <v>120 days</v>
      </c>
      <c r="M28" s="6">
        <v>1</v>
      </c>
      <c r="N28" s="6" t="s">
        <v>191</v>
      </c>
      <c r="O28" s="6"/>
      <c r="P28" s="6"/>
      <c r="Q28" s="6"/>
      <c r="R28" s="6" t="s">
        <v>31</v>
      </c>
      <c r="S28" s="6"/>
      <c r="T28" s="6" t="s">
        <v>254</v>
      </c>
      <c r="U28" s="6" t="s">
        <v>31</v>
      </c>
      <c r="V28" s="6" t="s">
        <v>229</v>
      </c>
      <c r="W28" s="6" t="s">
        <v>229</v>
      </c>
      <c r="X28" s="6" t="s">
        <v>31</v>
      </c>
      <c r="Y28" s="6" t="s">
        <v>229</v>
      </c>
      <c r="Z28" s="6" t="s">
        <v>229</v>
      </c>
      <c r="AA28" s="6" t="s">
        <v>31</v>
      </c>
      <c r="AB28" s="6" t="s">
        <v>229</v>
      </c>
      <c r="AC28" s="6" t="s">
        <v>229</v>
      </c>
      <c r="AD28" s="6" t="s">
        <v>31</v>
      </c>
      <c r="AE28" s="6" t="s">
        <v>229</v>
      </c>
      <c r="AF28" s="6" t="s">
        <v>229</v>
      </c>
      <c r="AG28" s="6" t="s">
        <v>31</v>
      </c>
      <c r="AH28" s="6" t="s">
        <v>229</v>
      </c>
      <c r="AI28" s="6" t="s">
        <v>229</v>
      </c>
      <c r="AJ28" s="6"/>
      <c r="AK28" s="6"/>
      <c r="AL28" s="6"/>
      <c r="AM28" s="6"/>
      <c r="AN28" s="6"/>
      <c r="AO28" s="6"/>
      <c r="AP28" s="6"/>
      <c r="AQ28" s="6"/>
      <c r="AR28" s="6"/>
      <c r="AS28" s="6" t="s">
        <v>29</v>
      </c>
      <c r="AT28" s="6">
        <v>1</v>
      </c>
      <c r="AU28" s="6" t="s">
        <v>191</v>
      </c>
      <c r="AV28" s="6" t="s">
        <v>31</v>
      </c>
      <c r="AW28" s="6" t="s">
        <v>229</v>
      </c>
      <c r="AX28" s="6" t="s">
        <v>229</v>
      </c>
      <c r="AY28" s="6" t="s">
        <v>31</v>
      </c>
      <c r="AZ28" s="6" t="s">
        <v>229</v>
      </c>
      <c r="BA28" s="6" t="s">
        <v>229</v>
      </c>
      <c r="BB28" s="6" t="s">
        <v>29</v>
      </c>
      <c r="BC28" s="6">
        <v>1</v>
      </c>
      <c r="BD28" s="6" t="s">
        <v>191</v>
      </c>
      <c r="BE28" s="6">
        <v>800</v>
      </c>
      <c r="BF28" s="6">
        <f>BE28+'Farmer Demand'!K28</f>
        <v>1000</v>
      </c>
    </row>
    <row r="29" spans="1:58" s="15" customFormat="1" ht="12.75" x14ac:dyDescent="0.2">
      <c r="A29" s="6">
        <f>'Farmer Demand'!A29</f>
        <v>27</v>
      </c>
      <c r="B29" s="6" t="str">
        <f>'Farmer Demand'!B29</f>
        <v>Haribati Marabi</v>
      </c>
      <c r="C29" s="6" t="str">
        <f>'Farmer Demand'!C29</f>
        <v>Saraswati Bai</v>
      </c>
      <c r="D29" s="6">
        <f>'Farmer Demand'!D29</f>
        <v>0</v>
      </c>
      <c r="E29" s="6" t="str">
        <f>'Farmer Demand'!E29</f>
        <v>No</v>
      </c>
      <c r="F29" s="6" t="str">
        <f>'Farmer Demand'!F29</f>
        <v>Sakri</v>
      </c>
      <c r="G29" s="6" t="str">
        <f>'Farmer Demand'!G29</f>
        <v>Narmada</v>
      </c>
      <c r="H29" s="6" t="str">
        <f>'Farmer Demand'!H29</f>
        <v>Kharif</v>
      </c>
      <c r="I29" s="6" t="s">
        <v>29</v>
      </c>
      <c r="J29" s="10" t="s">
        <v>173</v>
      </c>
      <c r="K29" s="6" t="s">
        <v>29</v>
      </c>
      <c r="L29" s="6" t="str">
        <f>'Farmer Demand'!M29</f>
        <v>120 days</v>
      </c>
      <c r="M29" s="6">
        <v>1</v>
      </c>
      <c r="N29" s="6" t="s">
        <v>191</v>
      </c>
      <c r="O29" s="6"/>
      <c r="P29" s="6"/>
      <c r="Q29" s="6"/>
      <c r="R29" s="6" t="s">
        <v>31</v>
      </c>
      <c r="S29" s="6"/>
      <c r="T29" s="6" t="s">
        <v>254</v>
      </c>
      <c r="U29" s="6" t="s">
        <v>31</v>
      </c>
      <c r="V29" s="6" t="s">
        <v>229</v>
      </c>
      <c r="W29" s="6" t="s">
        <v>229</v>
      </c>
      <c r="X29" s="6" t="s">
        <v>31</v>
      </c>
      <c r="Y29" s="6" t="s">
        <v>229</v>
      </c>
      <c r="Z29" s="6" t="s">
        <v>229</v>
      </c>
      <c r="AA29" s="6" t="s">
        <v>31</v>
      </c>
      <c r="AB29" s="6" t="s">
        <v>229</v>
      </c>
      <c r="AC29" s="6" t="s">
        <v>229</v>
      </c>
      <c r="AD29" s="6" t="s">
        <v>31</v>
      </c>
      <c r="AE29" s="6" t="s">
        <v>229</v>
      </c>
      <c r="AF29" s="6" t="s">
        <v>229</v>
      </c>
      <c r="AG29" s="6" t="s">
        <v>31</v>
      </c>
      <c r="AH29" s="6" t="s">
        <v>229</v>
      </c>
      <c r="AI29" s="6" t="s">
        <v>229</v>
      </c>
      <c r="AJ29" s="6"/>
      <c r="AK29" s="6"/>
      <c r="AL29" s="6"/>
      <c r="AM29" s="6"/>
      <c r="AN29" s="6"/>
      <c r="AO29" s="6"/>
      <c r="AP29" s="6"/>
      <c r="AQ29" s="6"/>
      <c r="AR29" s="6"/>
      <c r="AS29" s="6" t="s">
        <v>29</v>
      </c>
      <c r="AT29" s="6">
        <v>1</v>
      </c>
      <c r="AU29" s="6" t="s">
        <v>191</v>
      </c>
      <c r="AV29" s="6" t="s">
        <v>31</v>
      </c>
      <c r="AW29" s="6" t="s">
        <v>229</v>
      </c>
      <c r="AX29" s="6" t="s">
        <v>229</v>
      </c>
      <c r="AY29" s="6" t="s">
        <v>31</v>
      </c>
      <c r="AZ29" s="6" t="s">
        <v>229</v>
      </c>
      <c r="BA29" s="6" t="s">
        <v>229</v>
      </c>
      <c r="BB29" s="6" t="s">
        <v>29</v>
      </c>
      <c r="BC29" s="6">
        <v>1</v>
      </c>
      <c r="BD29" s="6" t="s">
        <v>191</v>
      </c>
      <c r="BE29" s="6">
        <v>600</v>
      </c>
      <c r="BF29" s="6">
        <f>BE29+'Farmer Demand'!K29</f>
        <v>800</v>
      </c>
    </row>
    <row r="30" spans="1:58" s="15" customFormat="1" ht="12.75" x14ac:dyDescent="0.2">
      <c r="A30" s="6">
        <f>'Farmer Demand'!A30</f>
        <v>28</v>
      </c>
      <c r="B30" s="6" t="str">
        <f>'Farmer Demand'!B30</f>
        <v>Haribati Marabi</v>
      </c>
      <c r="C30" s="6" t="str">
        <f>'Farmer Demand'!C30</f>
        <v>Saraswati Bai</v>
      </c>
      <c r="D30" s="6">
        <f>'Farmer Demand'!D30</f>
        <v>0</v>
      </c>
      <c r="E30" s="6" t="str">
        <f>'Farmer Demand'!E30</f>
        <v>Yes</v>
      </c>
      <c r="F30" s="6" t="str">
        <f>'Farmer Demand'!F30</f>
        <v>Sakri</v>
      </c>
      <c r="G30" s="6" t="str">
        <f>'Farmer Demand'!G30</f>
        <v>Narmada</v>
      </c>
      <c r="H30" s="6" t="str">
        <f>'Farmer Demand'!H30</f>
        <v>Kharif</v>
      </c>
      <c r="I30" s="6" t="s">
        <v>29</v>
      </c>
      <c r="J30" s="10" t="s">
        <v>173</v>
      </c>
      <c r="K30" s="6" t="s">
        <v>29</v>
      </c>
      <c r="L30" s="6" t="str">
        <f>'Farmer Demand'!M30</f>
        <v>120 days</v>
      </c>
      <c r="M30" s="6">
        <v>1</v>
      </c>
      <c r="N30" s="6" t="s">
        <v>191</v>
      </c>
      <c r="O30" s="6"/>
      <c r="P30" s="6"/>
      <c r="Q30" s="6"/>
      <c r="R30" s="6" t="s">
        <v>31</v>
      </c>
      <c r="S30" s="6"/>
      <c r="T30" s="6" t="s">
        <v>254</v>
      </c>
      <c r="U30" s="6" t="s">
        <v>31</v>
      </c>
      <c r="V30" s="6" t="s">
        <v>229</v>
      </c>
      <c r="W30" s="6" t="s">
        <v>229</v>
      </c>
      <c r="X30" s="6" t="s">
        <v>31</v>
      </c>
      <c r="Y30" s="6" t="s">
        <v>229</v>
      </c>
      <c r="Z30" s="6" t="s">
        <v>229</v>
      </c>
      <c r="AA30" s="6" t="s">
        <v>31</v>
      </c>
      <c r="AB30" s="6" t="s">
        <v>229</v>
      </c>
      <c r="AC30" s="6" t="s">
        <v>229</v>
      </c>
      <c r="AD30" s="6" t="s">
        <v>31</v>
      </c>
      <c r="AE30" s="6" t="s">
        <v>229</v>
      </c>
      <c r="AF30" s="6" t="s">
        <v>229</v>
      </c>
      <c r="AG30" s="6" t="s">
        <v>31</v>
      </c>
      <c r="AH30" s="6" t="s">
        <v>229</v>
      </c>
      <c r="AI30" s="6" t="s">
        <v>229</v>
      </c>
      <c r="AJ30" s="6"/>
      <c r="AK30" s="6"/>
      <c r="AL30" s="6"/>
      <c r="AM30" s="6"/>
      <c r="AN30" s="6"/>
      <c r="AO30" s="6"/>
      <c r="AP30" s="6"/>
      <c r="AQ30" s="6"/>
      <c r="AR30" s="6"/>
      <c r="AS30" s="6" t="s">
        <v>29</v>
      </c>
      <c r="AT30" s="6">
        <v>1</v>
      </c>
      <c r="AU30" s="6" t="s">
        <v>191</v>
      </c>
      <c r="AV30" s="6" t="s">
        <v>31</v>
      </c>
      <c r="AW30" s="6" t="s">
        <v>229</v>
      </c>
      <c r="AX30" s="6" t="s">
        <v>229</v>
      </c>
      <c r="AY30" s="6" t="s">
        <v>31</v>
      </c>
      <c r="AZ30" s="6" t="s">
        <v>229</v>
      </c>
      <c r="BA30" s="6" t="s">
        <v>229</v>
      </c>
      <c r="BB30" s="6" t="s">
        <v>29</v>
      </c>
      <c r="BC30" s="6">
        <v>1</v>
      </c>
      <c r="BD30" s="6" t="s">
        <v>191</v>
      </c>
      <c r="BE30" s="6">
        <v>700</v>
      </c>
      <c r="BF30" s="6">
        <f>BE30+'Farmer Demand'!K30</f>
        <v>900</v>
      </c>
    </row>
    <row r="31" spans="1:58" s="15" customFormat="1" ht="12.75" x14ac:dyDescent="0.2">
      <c r="A31" s="6">
        <f>'Farmer Demand'!A31</f>
        <v>29</v>
      </c>
      <c r="B31" s="6" t="str">
        <f>'Farmer Demand'!B31</f>
        <v>Haribati Marabi</v>
      </c>
      <c r="C31" s="6" t="str">
        <f>'Farmer Demand'!C31</f>
        <v>Saraswati Bai</v>
      </c>
      <c r="D31" s="6">
        <f>'Farmer Demand'!D31</f>
        <v>0</v>
      </c>
      <c r="E31" s="6" t="str">
        <f>'Farmer Demand'!E31</f>
        <v>Yes</v>
      </c>
      <c r="F31" s="6" t="str">
        <f>'Farmer Demand'!F31</f>
        <v>Sakri</v>
      </c>
      <c r="G31" s="6" t="str">
        <f>'Farmer Demand'!G31</f>
        <v>Narmada</v>
      </c>
      <c r="H31" s="6" t="str">
        <f>'Farmer Demand'!H31</f>
        <v>Kharif</v>
      </c>
      <c r="I31" s="6" t="s">
        <v>29</v>
      </c>
      <c r="J31" s="10" t="s">
        <v>173</v>
      </c>
      <c r="K31" s="6" t="s">
        <v>29</v>
      </c>
      <c r="L31" s="6" t="str">
        <f>'Farmer Demand'!M31</f>
        <v>120 days</v>
      </c>
      <c r="M31" s="6">
        <v>1</v>
      </c>
      <c r="N31" s="6" t="s">
        <v>191</v>
      </c>
      <c r="O31" s="6"/>
      <c r="P31" s="6"/>
      <c r="Q31" s="6"/>
      <c r="R31" s="6" t="s">
        <v>31</v>
      </c>
      <c r="S31" s="6"/>
      <c r="T31" s="6" t="s">
        <v>254</v>
      </c>
      <c r="U31" s="6" t="s">
        <v>31</v>
      </c>
      <c r="V31" s="6" t="s">
        <v>229</v>
      </c>
      <c r="W31" s="6" t="s">
        <v>229</v>
      </c>
      <c r="X31" s="6" t="s">
        <v>31</v>
      </c>
      <c r="Y31" s="6" t="s">
        <v>229</v>
      </c>
      <c r="Z31" s="6" t="s">
        <v>229</v>
      </c>
      <c r="AA31" s="6" t="s">
        <v>31</v>
      </c>
      <c r="AB31" s="6" t="s">
        <v>229</v>
      </c>
      <c r="AC31" s="6" t="s">
        <v>229</v>
      </c>
      <c r="AD31" s="6" t="s">
        <v>31</v>
      </c>
      <c r="AE31" s="6" t="s">
        <v>229</v>
      </c>
      <c r="AF31" s="6" t="s">
        <v>229</v>
      </c>
      <c r="AG31" s="6" t="s">
        <v>31</v>
      </c>
      <c r="AH31" s="6" t="s">
        <v>229</v>
      </c>
      <c r="AI31" s="6" t="s">
        <v>229</v>
      </c>
      <c r="AJ31" s="6"/>
      <c r="AK31" s="6"/>
      <c r="AL31" s="6"/>
      <c r="AM31" s="6"/>
      <c r="AN31" s="6"/>
      <c r="AO31" s="6"/>
      <c r="AP31" s="6"/>
      <c r="AQ31" s="6"/>
      <c r="AR31" s="6"/>
      <c r="AS31" s="6" t="s">
        <v>29</v>
      </c>
      <c r="AT31" s="6">
        <v>1</v>
      </c>
      <c r="AU31" s="6" t="s">
        <v>191</v>
      </c>
      <c r="AV31" s="6" t="s">
        <v>31</v>
      </c>
      <c r="AW31" s="6" t="s">
        <v>229</v>
      </c>
      <c r="AX31" s="6" t="s">
        <v>229</v>
      </c>
      <c r="AY31" s="6" t="s">
        <v>31</v>
      </c>
      <c r="AZ31" s="6" t="s">
        <v>229</v>
      </c>
      <c r="BA31" s="6" t="s">
        <v>229</v>
      </c>
      <c r="BB31" s="6" t="s">
        <v>29</v>
      </c>
      <c r="BC31" s="6">
        <v>1</v>
      </c>
      <c r="BD31" s="6" t="s">
        <v>191</v>
      </c>
      <c r="BE31" s="6">
        <v>900</v>
      </c>
      <c r="BF31" s="6">
        <f>BE31+'Farmer Demand'!K31</f>
        <v>1100</v>
      </c>
    </row>
    <row r="32" spans="1:58" s="15" customFormat="1" ht="12.75" x14ac:dyDescent="0.2">
      <c r="A32" s="6">
        <f>'Farmer Demand'!A32</f>
        <v>30</v>
      </c>
      <c r="B32" s="6" t="str">
        <f>'Farmer Demand'!B32</f>
        <v>Haribati Marabi</v>
      </c>
      <c r="C32" s="6" t="str">
        <f>'Farmer Demand'!C32</f>
        <v>Saroj Bai</v>
      </c>
      <c r="D32" s="6">
        <f>'Farmer Demand'!D32</f>
        <v>0</v>
      </c>
      <c r="E32" s="6" t="str">
        <f>'Farmer Demand'!E32</f>
        <v>Yes</v>
      </c>
      <c r="F32" s="6" t="str">
        <f>'Farmer Demand'!F32</f>
        <v>Sakri</v>
      </c>
      <c r="G32" s="6" t="str">
        <f>'Farmer Demand'!G32</f>
        <v>Narmada</v>
      </c>
      <c r="H32" s="6" t="str">
        <f>'Farmer Demand'!H32</f>
        <v>Kharif</v>
      </c>
      <c r="I32" s="6" t="s">
        <v>29</v>
      </c>
      <c r="J32" s="10" t="s">
        <v>173</v>
      </c>
      <c r="K32" s="6" t="s">
        <v>29</v>
      </c>
      <c r="L32" s="6" t="str">
        <f>'Farmer Demand'!M32</f>
        <v>120 days</v>
      </c>
      <c r="M32" s="6">
        <v>1</v>
      </c>
      <c r="N32" s="6" t="s">
        <v>191</v>
      </c>
      <c r="O32" s="6"/>
      <c r="P32" s="6"/>
      <c r="Q32" s="6"/>
      <c r="R32" s="6" t="s">
        <v>31</v>
      </c>
      <c r="S32" s="6"/>
      <c r="T32" s="6" t="s">
        <v>254</v>
      </c>
      <c r="U32" s="6" t="s">
        <v>31</v>
      </c>
      <c r="V32" s="6" t="s">
        <v>229</v>
      </c>
      <c r="W32" s="6" t="s">
        <v>229</v>
      </c>
      <c r="X32" s="6" t="s">
        <v>31</v>
      </c>
      <c r="Y32" s="6" t="s">
        <v>229</v>
      </c>
      <c r="Z32" s="6" t="s">
        <v>229</v>
      </c>
      <c r="AA32" s="6" t="s">
        <v>31</v>
      </c>
      <c r="AB32" s="6" t="s">
        <v>229</v>
      </c>
      <c r="AC32" s="6" t="s">
        <v>229</v>
      </c>
      <c r="AD32" s="6" t="s">
        <v>31</v>
      </c>
      <c r="AE32" s="6" t="s">
        <v>229</v>
      </c>
      <c r="AF32" s="6" t="s">
        <v>229</v>
      </c>
      <c r="AG32" s="6" t="s">
        <v>31</v>
      </c>
      <c r="AH32" s="6" t="s">
        <v>229</v>
      </c>
      <c r="AI32" s="6" t="s">
        <v>229</v>
      </c>
      <c r="AJ32" s="6"/>
      <c r="AK32" s="6"/>
      <c r="AL32" s="6"/>
      <c r="AM32" s="6"/>
      <c r="AN32" s="6"/>
      <c r="AO32" s="6"/>
      <c r="AP32" s="6"/>
      <c r="AQ32" s="6"/>
      <c r="AR32" s="6"/>
      <c r="AS32" s="6" t="s">
        <v>29</v>
      </c>
      <c r="AT32" s="6">
        <v>1</v>
      </c>
      <c r="AU32" s="6" t="s">
        <v>191</v>
      </c>
      <c r="AV32" s="6" t="s">
        <v>31</v>
      </c>
      <c r="AW32" s="6" t="s">
        <v>229</v>
      </c>
      <c r="AX32" s="6" t="s">
        <v>229</v>
      </c>
      <c r="AY32" s="6" t="s">
        <v>31</v>
      </c>
      <c r="AZ32" s="6" t="s">
        <v>229</v>
      </c>
      <c r="BA32" s="6" t="s">
        <v>229</v>
      </c>
      <c r="BB32" s="6" t="s">
        <v>29</v>
      </c>
      <c r="BC32" s="6">
        <v>1</v>
      </c>
      <c r="BD32" s="6" t="s">
        <v>191</v>
      </c>
      <c r="BE32" s="6">
        <v>900</v>
      </c>
      <c r="BF32" s="6">
        <f>BE32+'Farmer Demand'!K32</f>
        <v>1100</v>
      </c>
    </row>
    <row r="33" spans="1:58" s="15" customFormat="1" ht="12.75" x14ac:dyDescent="0.2">
      <c r="A33" s="6">
        <f>'Farmer Demand'!A33</f>
        <v>31</v>
      </c>
      <c r="B33" s="6" t="str">
        <f>'Farmer Demand'!B33</f>
        <v>Haribati Marabi</v>
      </c>
      <c r="C33" s="6" t="str">
        <f>'Farmer Demand'!C33</f>
        <v>Sushila Bai</v>
      </c>
      <c r="D33" s="6">
        <f>'Farmer Demand'!D33</f>
        <v>0</v>
      </c>
      <c r="E33" s="6" t="str">
        <f>'Farmer Demand'!E33</f>
        <v>No</v>
      </c>
      <c r="F33" s="6" t="str">
        <f>'Farmer Demand'!F33</f>
        <v>Sakri</v>
      </c>
      <c r="G33" s="6" t="str">
        <f>'Farmer Demand'!G33</f>
        <v>Narmada</v>
      </c>
      <c r="H33" s="6" t="str">
        <f>'Farmer Demand'!H33</f>
        <v>Kharif</v>
      </c>
      <c r="I33" s="6" t="s">
        <v>29</v>
      </c>
      <c r="J33" s="10" t="s">
        <v>173</v>
      </c>
      <c r="K33" s="6" t="s">
        <v>29</v>
      </c>
      <c r="L33" s="6" t="str">
        <f>'Farmer Demand'!M33</f>
        <v>120 days</v>
      </c>
      <c r="M33" s="6">
        <v>1</v>
      </c>
      <c r="N33" s="6" t="s">
        <v>191</v>
      </c>
      <c r="O33" s="6"/>
      <c r="P33" s="6"/>
      <c r="Q33" s="6"/>
      <c r="R33" s="6" t="s">
        <v>31</v>
      </c>
      <c r="S33" s="6"/>
      <c r="T33" s="6" t="s">
        <v>254</v>
      </c>
      <c r="U33" s="6" t="s">
        <v>31</v>
      </c>
      <c r="V33" s="6" t="s">
        <v>229</v>
      </c>
      <c r="W33" s="6" t="s">
        <v>229</v>
      </c>
      <c r="X33" s="6" t="s">
        <v>31</v>
      </c>
      <c r="Y33" s="6" t="s">
        <v>229</v>
      </c>
      <c r="Z33" s="6" t="s">
        <v>229</v>
      </c>
      <c r="AA33" s="6" t="s">
        <v>31</v>
      </c>
      <c r="AB33" s="6" t="s">
        <v>229</v>
      </c>
      <c r="AC33" s="6" t="s">
        <v>229</v>
      </c>
      <c r="AD33" s="6" t="s">
        <v>31</v>
      </c>
      <c r="AE33" s="6" t="s">
        <v>229</v>
      </c>
      <c r="AF33" s="6" t="s">
        <v>229</v>
      </c>
      <c r="AG33" s="6" t="s">
        <v>31</v>
      </c>
      <c r="AH33" s="6" t="s">
        <v>229</v>
      </c>
      <c r="AI33" s="6" t="s">
        <v>229</v>
      </c>
      <c r="AJ33" s="6"/>
      <c r="AK33" s="6"/>
      <c r="AL33" s="6"/>
      <c r="AM33" s="6"/>
      <c r="AN33" s="6"/>
      <c r="AO33" s="6"/>
      <c r="AP33" s="6"/>
      <c r="AQ33" s="6"/>
      <c r="AR33" s="6"/>
      <c r="AS33" s="6" t="s">
        <v>29</v>
      </c>
      <c r="AT33" s="6">
        <v>1</v>
      </c>
      <c r="AU33" s="6" t="s">
        <v>191</v>
      </c>
      <c r="AV33" s="6" t="s">
        <v>31</v>
      </c>
      <c r="AW33" s="6" t="s">
        <v>229</v>
      </c>
      <c r="AX33" s="6" t="s">
        <v>229</v>
      </c>
      <c r="AY33" s="6" t="s">
        <v>29</v>
      </c>
      <c r="AZ33" s="6">
        <v>1</v>
      </c>
      <c r="BA33" s="6" t="s">
        <v>191</v>
      </c>
      <c r="BB33" s="6" t="s">
        <v>29</v>
      </c>
      <c r="BC33" s="6">
        <v>1</v>
      </c>
      <c r="BD33" s="6" t="s">
        <v>191</v>
      </c>
      <c r="BE33" s="6">
        <v>900</v>
      </c>
      <c r="BF33" s="6">
        <f>BE33+'Farmer Demand'!K33</f>
        <v>1100</v>
      </c>
    </row>
    <row r="34" spans="1:58" s="15" customFormat="1" ht="12.75" x14ac:dyDescent="0.2">
      <c r="A34" s="6">
        <f>'Farmer Demand'!A34</f>
        <v>32</v>
      </c>
      <c r="B34" s="6" t="str">
        <f>'Farmer Demand'!B34</f>
        <v>Haribati Marabi</v>
      </c>
      <c r="C34" s="6" t="str">
        <f>'Farmer Demand'!C34</f>
        <v>Bajjo Bai</v>
      </c>
      <c r="D34" s="6">
        <f>'Farmer Demand'!D34</f>
        <v>0</v>
      </c>
      <c r="E34" s="6" t="str">
        <f>'Farmer Demand'!E34</f>
        <v>No</v>
      </c>
      <c r="F34" s="6" t="str">
        <f>'Farmer Demand'!F34</f>
        <v>Sakri</v>
      </c>
      <c r="G34" s="6" t="str">
        <f>'Farmer Demand'!G34</f>
        <v>Kiran</v>
      </c>
      <c r="H34" s="6" t="str">
        <f>'Farmer Demand'!H34</f>
        <v>Kharif</v>
      </c>
      <c r="I34" s="6" t="s">
        <v>29</v>
      </c>
      <c r="J34" s="10" t="s">
        <v>173</v>
      </c>
      <c r="K34" s="6" t="s">
        <v>29</v>
      </c>
      <c r="L34" s="6" t="str">
        <f>'Farmer Demand'!M34</f>
        <v>120 days</v>
      </c>
      <c r="M34" s="6">
        <v>1</v>
      </c>
      <c r="N34" s="6" t="s">
        <v>191</v>
      </c>
      <c r="O34" s="6"/>
      <c r="P34" s="6"/>
      <c r="Q34" s="6"/>
      <c r="R34" s="6" t="s">
        <v>31</v>
      </c>
      <c r="S34" s="6"/>
      <c r="T34" s="6" t="s">
        <v>254</v>
      </c>
      <c r="U34" s="6" t="s">
        <v>31</v>
      </c>
      <c r="V34" s="6" t="s">
        <v>229</v>
      </c>
      <c r="W34" s="6" t="s">
        <v>229</v>
      </c>
      <c r="X34" s="6" t="s">
        <v>31</v>
      </c>
      <c r="Y34" s="6" t="s">
        <v>229</v>
      </c>
      <c r="Z34" s="6" t="s">
        <v>229</v>
      </c>
      <c r="AA34" s="6" t="s">
        <v>31</v>
      </c>
      <c r="AB34" s="6" t="s">
        <v>229</v>
      </c>
      <c r="AC34" s="6" t="s">
        <v>229</v>
      </c>
      <c r="AD34" s="6" t="s">
        <v>31</v>
      </c>
      <c r="AE34" s="6" t="s">
        <v>229</v>
      </c>
      <c r="AF34" s="6" t="s">
        <v>229</v>
      </c>
      <c r="AG34" s="6" t="s">
        <v>31</v>
      </c>
      <c r="AH34" s="6" t="s">
        <v>229</v>
      </c>
      <c r="AI34" s="6" t="s">
        <v>229</v>
      </c>
      <c r="AJ34" s="6"/>
      <c r="AK34" s="6"/>
      <c r="AL34" s="6"/>
      <c r="AM34" s="6"/>
      <c r="AN34" s="6"/>
      <c r="AO34" s="6"/>
      <c r="AP34" s="6"/>
      <c r="AQ34" s="6"/>
      <c r="AR34" s="6"/>
      <c r="AS34" s="6" t="s">
        <v>29</v>
      </c>
      <c r="AT34" s="6">
        <v>1</v>
      </c>
      <c r="AU34" s="6" t="s">
        <v>191</v>
      </c>
      <c r="AV34" s="6" t="s">
        <v>29</v>
      </c>
      <c r="AW34" s="6">
        <v>1</v>
      </c>
      <c r="AX34" s="6" t="s">
        <v>191</v>
      </c>
      <c r="AY34" s="6" t="s">
        <v>29</v>
      </c>
      <c r="AZ34" s="6">
        <v>1</v>
      </c>
      <c r="BA34" s="6" t="s">
        <v>191</v>
      </c>
      <c r="BB34" s="6" t="s">
        <v>29</v>
      </c>
      <c r="BC34" s="6">
        <v>1</v>
      </c>
      <c r="BD34" s="6" t="s">
        <v>191</v>
      </c>
      <c r="BE34" s="6">
        <v>900</v>
      </c>
      <c r="BF34" s="6">
        <f>BE34+'Farmer Demand'!K34</f>
        <v>1100</v>
      </c>
    </row>
    <row r="35" spans="1:58" s="15" customFormat="1" ht="12.75" x14ac:dyDescent="0.2">
      <c r="A35" s="6">
        <f>'Farmer Demand'!A35</f>
        <v>33</v>
      </c>
      <c r="B35" s="6" t="str">
        <f>'Farmer Demand'!B35</f>
        <v>Haribati Marabi</v>
      </c>
      <c r="C35" s="6" t="str">
        <f>'Farmer Demand'!C35</f>
        <v>Daro Bai</v>
      </c>
      <c r="D35" s="6">
        <f>'Farmer Demand'!D35</f>
        <v>0</v>
      </c>
      <c r="E35" s="6" t="str">
        <f>'Farmer Demand'!E35</f>
        <v>No</v>
      </c>
      <c r="F35" s="6" t="str">
        <f>'Farmer Demand'!F35</f>
        <v>Sakri</v>
      </c>
      <c r="G35" s="6" t="str">
        <f>'Farmer Demand'!G35</f>
        <v>Kiran</v>
      </c>
      <c r="H35" s="6" t="str">
        <f>'Farmer Demand'!H35</f>
        <v>Kharif</v>
      </c>
      <c r="I35" s="6" t="s">
        <v>31</v>
      </c>
      <c r="J35" s="16" t="s">
        <v>42</v>
      </c>
      <c r="K35" s="6" t="s">
        <v>31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 t="s">
        <v>31</v>
      </c>
      <c r="Y35" s="6" t="s">
        <v>229</v>
      </c>
      <c r="Z35" s="6" t="s">
        <v>229</v>
      </c>
      <c r="AA35" s="6" t="s">
        <v>31</v>
      </c>
      <c r="AB35" s="6" t="s">
        <v>229</v>
      </c>
      <c r="AC35" s="6" t="s">
        <v>229</v>
      </c>
      <c r="AD35" s="6" t="s">
        <v>31</v>
      </c>
      <c r="AE35" s="6" t="s">
        <v>229</v>
      </c>
      <c r="AF35" s="6" t="s">
        <v>229</v>
      </c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>
        <f>BE35+'Farmer Demand'!K35</f>
        <v>200</v>
      </c>
    </row>
    <row r="36" spans="1:58" s="15" customFormat="1" ht="12.75" x14ac:dyDescent="0.2">
      <c r="A36" s="6">
        <f>'Farmer Demand'!A36</f>
        <v>34</v>
      </c>
      <c r="B36" s="6" t="str">
        <f>'Farmer Demand'!B36</f>
        <v>Haribati Marabi</v>
      </c>
      <c r="C36" s="6" t="str">
        <f>'Farmer Demand'!C36</f>
        <v>Foondri</v>
      </c>
      <c r="D36" s="6">
        <f>'Farmer Demand'!D36</f>
        <v>0</v>
      </c>
      <c r="E36" s="6" t="str">
        <f>'Farmer Demand'!E36</f>
        <v>No</v>
      </c>
      <c r="F36" s="6" t="str">
        <f>'Farmer Demand'!F36</f>
        <v>Sakri</v>
      </c>
      <c r="G36" s="6" t="str">
        <f>'Farmer Demand'!G36</f>
        <v>Kiran</v>
      </c>
      <c r="H36" s="6" t="str">
        <f>'Farmer Demand'!H36</f>
        <v>Kharif</v>
      </c>
      <c r="I36" s="6" t="s">
        <v>31</v>
      </c>
      <c r="J36" s="16" t="s">
        <v>42</v>
      </c>
      <c r="K36" s="6" t="s">
        <v>31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 t="s">
        <v>31</v>
      </c>
      <c r="Y36" s="6" t="s">
        <v>229</v>
      </c>
      <c r="Z36" s="6" t="s">
        <v>229</v>
      </c>
      <c r="AA36" s="6" t="s">
        <v>31</v>
      </c>
      <c r="AB36" s="6" t="s">
        <v>229</v>
      </c>
      <c r="AC36" s="6" t="s">
        <v>229</v>
      </c>
      <c r="AD36" s="6" t="s">
        <v>31</v>
      </c>
      <c r="AE36" s="6" t="s">
        <v>229</v>
      </c>
      <c r="AF36" s="6" t="s">
        <v>229</v>
      </c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>
        <f>BE36+'Farmer Demand'!K36</f>
        <v>200</v>
      </c>
    </row>
    <row r="37" spans="1:58" s="15" customFormat="1" ht="12.75" x14ac:dyDescent="0.2">
      <c r="A37" s="6">
        <f>'Farmer Demand'!A37</f>
        <v>35</v>
      </c>
      <c r="B37" s="6" t="str">
        <f>'Farmer Demand'!B37</f>
        <v>Haribati Marabi</v>
      </c>
      <c r="C37" s="6" t="str">
        <f>'Farmer Demand'!C37</f>
        <v>Halki</v>
      </c>
      <c r="D37" s="6">
        <f>'Farmer Demand'!D37</f>
        <v>0</v>
      </c>
      <c r="E37" s="6" t="str">
        <f>'Farmer Demand'!E37</f>
        <v>No</v>
      </c>
      <c r="F37" s="6" t="str">
        <f>'Farmer Demand'!F37</f>
        <v>Sakri</v>
      </c>
      <c r="G37" s="6" t="str">
        <f>'Farmer Demand'!G37</f>
        <v>Kiran</v>
      </c>
      <c r="H37" s="6" t="str">
        <f>'Farmer Demand'!H37</f>
        <v>Kharif</v>
      </c>
      <c r="I37" s="6" t="s">
        <v>31</v>
      </c>
      <c r="J37" s="16" t="s">
        <v>42</v>
      </c>
      <c r="K37" s="6" t="s">
        <v>31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 t="s">
        <v>31</v>
      </c>
      <c r="Y37" s="6" t="s">
        <v>229</v>
      </c>
      <c r="Z37" s="6" t="s">
        <v>229</v>
      </c>
      <c r="AA37" s="6" t="s">
        <v>31</v>
      </c>
      <c r="AB37" s="6" t="s">
        <v>229</v>
      </c>
      <c r="AC37" s="6" t="s">
        <v>229</v>
      </c>
      <c r="AD37" s="6" t="s">
        <v>31</v>
      </c>
      <c r="AE37" s="6" t="s">
        <v>229</v>
      </c>
      <c r="AF37" s="6" t="s">
        <v>229</v>
      </c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>
        <f>BE37+'Farmer Demand'!K37</f>
        <v>200</v>
      </c>
    </row>
    <row r="38" spans="1:58" s="15" customFormat="1" ht="12.75" x14ac:dyDescent="0.2">
      <c r="A38" s="6">
        <f>'Farmer Demand'!A38</f>
        <v>36</v>
      </c>
      <c r="B38" s="6" t="str">
        <f>'Farmer Demand'!B38</f>
        <v>Haribati Marabi</v>
      </c>
      <c r="C38" s="6" t="str">
        <f>'Farmer Demand'!C38</f>
        <v>Meera Bai</v>
      </c>
      <c r="D38" s="6">
        <f>'Farmer Demand'!D38</f>
        <v>0</v>
      </c>
      <c r="E38" s="6" t="str">
        <f>'Farmer Demand'!E38</f>
        <v>No</v>
      </c>
      <c r="F38" s="6" t="str">
        <f>'Farmer Demand'!F38</f>
        <v>Sakri</v>
      </c>
      <c r="G38" s="6" t="str">
        <f>'Farmer Demand'!G38</f>
        <v>Kiran</v>
      </c>
      <c r="H38" s="6" t="str">
        <f>'Farmer Demand'!H38</f>
        <v>Kharif</v>
      </c>
      <c r="I38" s="6" t="s">
        <v>31</v>
      </c>
      <c r="J38" s="16" t="s">
        <v>42</v>
      </c>
      <c r="K38" s="6" t="s">
        <v>31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 t="s">
        <v>31</v>
      </c>
      <c r="Y38" s="6" t="s">
        <v>229</v>
      </c>
      <c r="Z38" s="6" t="s">
        <v>229</v>
      </c>
      <c r="AA38" s="6" t="s">
        <v>31</v>
      </c>
      <c r="AB38" s="6" t="s">
        <v>229</v>
      </c>
      <c r="AC38" s="6" t="s">
        <v>229</v>
      </c>
      <c r="AD38" s="6" t="s">
        <v>31</v>
      </c>
      <c r="AE38" s="6" t="s">
        <v>229</v>
      </c>
      <c r="AF38" s="6" t="s">
        <v>229</v>
      </c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>
        <f>BE38+'Farmer Demand'!K38</f>
        <v>200</v>
      </c>
    </row>
    <row r="39" spans="1:58" s="15" customFormat="1" ht="12.75" x14ac:dyDescent="0.2">
      <c r="A39" s="6">
        <f>'Farmer Demand'!A39</f>
        <v>37</v>
      </c>
      <c r="B39" s="6" t="str">
        <f>'Farmer Demand'!B39</f>
        <v>Haribati Marabi</v>
      </c>
      <c r="C39" s="6" t="str">
        <f>'Farmer Demand'!C39</f>
        <v>Nidhi Bhawedi</v>
      </c>
      <c r="D39" s="6">
        <f>'Farmer Demand'!D39</f>
        <v>0</v>
      </c>
      <c r="E39" s="6" t="str">
        <f>'Farmer Demand'!E39</f>
        <v>No</v>
      </c>
      <c r="F39" s="6" t="str">
        <f>'Farmer Demand'!F39</f>
        <v>Sakri</v>
      </c>
      <c r="G39" s="6" t="str">
        <f>'Farmer Demand'!G39</f>
        <v>Kiran</v>
      </c>
      <c r="H39" s="6" t="str">
        <f>'Farmer Demand'!H39</f>
        <v>Kharif</v>
      </c>
      <c r="I39" s="6" t="s">
        <v>31</v>
      </c>
      <c r="J39" s="16" t="s">
        <v>42</v>
      </c>
      <c r="K39" s="6" t="s">
        <v>31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 t="s">
        <v>31</v>
      </c>
      <c r="Y39" s="6" t="s">
        <v>229</v>
      </c>
      <c r="Z39" s="6" t="s">
        <v>229</v>
      </c>
      <c r="AA39" s="6" t="s">
        <v>31</v>
      </c>
      <c r="AB39" s="6" t="s">
        <v>229</v>
      </c>
      <c r="AC39" s="6" t="s">
        <v>229</v>
      </c>
      <c r="AD39" s="6" t="s">
        <v>31</v>
      </c>
      <c r="AE39" s="6" t="s">
        <v>229</v>
      </c>
      <c r="AF39" s="6" t="s">
        <v>229</v>
      </c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>
        <f>BE39+'Farmer Demand'!K39</f>
        <v>200</v>
      </c>
    </row>
    <row r="40" spans="1:58" s="15" customFormat="1" ht="12.75" x14ac:dyDescent="0.2">
      <c r="A40" s="6">
        <f>'Farmer Demand'!A40</f>
        <v>38</v>
      </c>
      <c r="B40" s="6" t="str">
        <f>'Farmer Demand'!B40</f>
        <v>Haribati Marabi</v>
      </c>
      <c r="C40" s="6" t="str">
        <f>'Farmer Demand'!C40</f>
        <v>Puniya Bai</v>
      </c>
      <c r="D40" s="6">
        <f>'Farmer Demand'!D40</f>
        <v>0</v>
      </c>
      <c r="E40" s="6" t="str">
        <f>'Farmer Demand'!E40</f>
        <v>No</v>
      </c>
      <c r="F40" s="6" t="str">
        <f>'Farmer Demand'!F40</f>
        <v>Sakri</v>
      </c>
      <c r="G40" s="6" t="str">
        <f>'Farmer Demand'!G40</f>
        <v>Kiran</v>
      </c>
      <c r="H40" s="6" t="str">
        <f>'Farmer Demand'!H40</f>
        <v>Kharif</v>
      </c>
      <c r="I40" s="6" t="s">
        <v>31</v>
      </c>
      <c r="J40" s="16" t="s">
        <v>49</v>
      </c>
      <c r="K40" s="6" t="s">
        <v>31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 t="s">
        <v>31</v>
      </c>
      <c r="Y40" s="6" t="s">
        <v>229</v>
      </c>
      <c r="Z40" s="6" t="s">
        <v>229</v>
      </c>
      <c r="AA40" s="6" t="s">
        <v>31</v>
      </c>
      <c r="AB40" s="6" t="s">
        <v>229</v>
      </c>
      <c r="AC40" s="6" t="s">
        <v>229</v>
      </c>
      <c r="AD40" s="6" t="s">
        <v>31</v>
      </c>
      <c r="AE40" s="6" t="s">
        <v>229</v>
      </c>
      <c r="AF40" s="6" t="s">
        <v>229</v>
      </c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>
        <f>BE40+'Farmer Demand'!K40</f>
        <v>200</v>
      </c>
    </row>
    <row r="41" spans="1:58" s="15" customFormat="1" ht="12.75" x14ac:dyDescent="0.2">
      <c r="A41" s="6">
        <f>'Farmer Demand'!A41</f>
        <v>39</v>
      </c>
      <c r="B41" s="6" t="str">
        <f>'Farmer Demand'!B41</f>
        <v>Haribati Marabi</v>
      </c>
      <c r="C41" s="6" t="str">
        <f>'Farmer Demand'!C41</f>
        <v>Rupwati</v>
      </c>
      <c r="D41" s="6">
        <f>'Farmer Demand'!D41</f>
        <v>0</v>
      </c>
      <c r="E41" s="6" t="str">
        <f>'Farmer Demand'!E41</f>
        <v>No</v>
      </c>
      <c r="F41" s="6" t="str">
        <f>'Farmer Demand'!F41</f>
        <v>Sakri</v>
      </c>
      <c r="G41" s="6" t="str">
        <f>'Farmer Demand'!G41</f>
        <v>Kiran</v>
      </c>
      <c r="H41" s="6" t="str">
        <f>'Farmer Demand'!H41</f>
        <v>Kharif</v>
      </c>
      <c r="I41" s="6" t="s">
        <v>31</v>
      </c>
      <c r="J41" s="16" t="s">
        <v>49</v>
      </c>
      <c r="K41" s="6" t="s">
        <v>31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 t="s">
        <v>31</v>
      </c>
      <c r="Y41" s="6" t="s">
        <v>229</v>
      </c>
      <c r="Z41" s="6" t="s">
        <v>229</v>
      </c>
      <c r="AA41" s="6" t="s">
        <v>31</v>
      </c>
      <c r="AB41" s="6" t="s">
        <v>229</v>
      </c>
      <c r="AC41" s="6" t="s">
        <v>229</v>
      </c>
      <c r="AD41" s="6" t="s">
        <v>31</v>
      </c>
      <c r="AE41" s="6" t="s">
        <v>229</v>
      </c>
      <c r="AF41" s="6" t="s">
        <v>229</v>
      </c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>
        <f>BE41+'Farmer Demand'!K41</f>
        <v>200</v>
      </c>
    </row>
    <row r="42" spans="1:58" s="15" customFormat="1" ht="12.75" x14ac:dyDescent="0.2">
      <c r="A42" s="6">
        <f>'Farmer Demand'!A42</f>
        <v>40</v>
      </c>
      <c r="B42" s="6" t="str">
        <f>'Farmer Demand'!B42</f>
        <v>Haribati Marabi</v>
      </c>
      <c r="C42" s="6" t="str">
        <f>'Farmer Demand'!C42</f>
        <v>Sharda Bai</v>
      </c>
      <c r="D42" s="6">
        <f>'Farmer Demand'!D42</f>
        <v>0</v>
      </c>
      <c r="E42" s="6" t="str">
        <f>'Farmer Demand'!E42</f>
        <v>No</v>
      </c>
      <c r="F42" s="6" t="str">
        <f>'Farmer Demand'!F42</f>
        <v>Sakri</v>
      </c>
      <c r="G42" s="6" t="str">
        <f>'Farmer Demand'!G42</f>
        <v>Kiran</v>
      </c>
      <c r="H42" s="6" t="str">
        <f>'Farmer Demand'!H42</f>
        <v>Kharif</v>
      </c>
      <c r="I42" s="6" t="s">
        <v>31</v>
      </c>
      <c r="J42" s="16" t="s">
        <v>49</v>
      </c>
      <c r="K42" s="6" t="s">
        <v>31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 t="s">
        <v>31</v>
      </c>
      <c r="Y42" s="6" t="s">
        <v>229</v>
      </c>
      <c r="Z42" s="6" t="s">
        <v>229</v>
      </c>
      <c r="AA42" s="6" t="s">
        <v>31</v>
      </c>
      <c r="AB42" s="6" t="s">
        <v>229</v>
      </c>
      <c r="AC42" s="6" t="s">
        <v>229</v>
      </c>
      <c r="AD42" s="6" t="s">
        <v>31</v>
      </c>
      <c r="AE42" s="6" t="s">
        <v>229</v>
      </c>
      <c r="AF42" s="6" t="s">
        <v>229</v>
      </c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>
        <f>BE42+'Farmer Demand'!K42</f>
        <v>200</v>
      </c>
    </row>
    <row r="43" spans="1:58" s="15" customFormat="1" ht="12.75" x14ac:dyDescent="0.2">
      <c r="A43" s="6">
        <f>'Farmer Demand'!A43</f>
        <v>41</v>
      </c>
      <c r="B43" s="6" t="str">
        <f>'Farmer Demand'!B43</f>
        <v>Haribati Marabi</v>
      </c>
      <c r="C43" s="6" t="str">
        <f>'Farmer Demand'!C43</f>
        <v>Shyam Kumari</v>
      </c>
      <c r="D43" s="6">
        <f>'Farmer Demand'!D43</f>
        <v>0</v>
      </c>
      <c r="E43" s="6" t="str">
        <f>'Farmer Demand'!E43</f>
        <v>No</v>
      </c>
      <c r="F43" s="6" t="str">
        <f>'Farmer Demand'!F43</f>
        <v>Sakri</v>
      </c>
      <c r="G43" s="6" t="str">
        <f>'Farmer Demand'!G43</f>
        <v>Kiran</v>
      </c>
      <c r="H43" s="6" t="str">
        <f>'Farmer Demand'!H43</f>
        <v>Kharif</v>
      </c>
      <c r="I43" s="6" t="s">
        <v>29</v>
      </c>
      <c r="J43" s="10" t="s">
        <v>173</v>
      </c>
      <c r="K43" s="6" t="s">
        <v>29</v>
      </c>
      <c r="L43" s="6" t="str">
        <f>'Farmer Demand'!M43</f>
        <v>120 days</v>
      </c>
      <c r="M43" s="6">
        <v>1</v>
      </c>
      <c r="N43" s="6" t="s">
        <v>191</v>
      </c>
      <c r="O43" s="6"/>
      <c r="P43" s="6"/>
      <c r="Q43" s="6"/>
      <c r="R43" s="6" t="s">
        <v>31</v>
      </c>
      <c r="S43" s="6"/>
      <c r="T43" s="6" t="s">
        <v>254</v>
      </c>
      <c r="U43" s="6" t="s">
        <v>31</v>
      </c>
      <c r="V43" s="6" t="s">
        <v>229</v>
      </c>
      <c r="W43" s="6" t="s">
        <v>229</v>
      </c>
      <c r="X43" s="6" t="s">
        <v>31</v>
      </c>
      <c r="Y43" s="6" t="s">
        <v>229</v>
      </c>
      <c r="Z43" s="6" t="s">
        <v>229</v>
      </c>
      <c r="AA43" s="6" t="s">
        <v>31</v>
      </c>
      <c r="AB43" s="6" t="s">
        <v>229</v>
      </c>
      <c r="AC43" s="6" t="s">
        <v>229</v>
      </c>
      <c r="AD43" s="6" t="s">
        <v>31</v>
      </c>
      <c r="AE43" s="6" t="s">
        <v>229</v>
      </c>
      <c r="AF43" s="6" t="s">
        <v>229</v>
      </c>
      <c r="AG43" s="6" t="s">
        <v>31</v>
      </c>
      <c r="AH43" s="6" t="s">
        <v>229</v>
      </c>
      <c r="AI43" s="6" t="s">
        <v>229</v>
      </c>
      <c r="AJ43" s="6"/>
      <c r="AK43" s="6"/>
      <c r="AL43" s="6"/>
      <c r="AM43" s="6"/>
      <c r="AN43" s="6"/>
      <c r="AO43" s="6"/>
      <c r="AP43" s="6"/>
      <c r="AQ43" s="6"/>
      <c r="AR43" s="6"/>
      <c r="AS43" s="6" t="s">
        <v>29</v>
      </c>
      <c r="AT43" s="6">
        <v>1</v>
      </c>
      <c r="AU43" s="6" t="s">
        <v>191</v>
      </c>
      <c r="AV43" s="6" t="s">
        <v>29</v>
      </c>
      <c r="AW43" s="6">
        <v>1</v>
      </c>
      <c r="AX43" s="6" t="s">
        <v>191</v>
      </c>
      <c r="AY43" s="6" t="s">
        <v>29</v>
      </c>
      <c r="AZ43" s="6">
        <v>1</v>
      </c>
      <c r="BA43" s="6" t="s">
        <v>191</v>
      </c>
      <c r="BB43" s="6" t="s">
        <v>29</v>
      </c>
      <c r="BC43" s="6">
        <v>1</v>
      </c>
      <c r="BD43" s="6" t="s">
        <v>191</v>
      </c>
      <c r="BE43" s="6">
        <v>900</v>
      </c>
      <c r="BF43" s="6">
        <f>BE43+'Farmer Demand'!K43</f>
        <v>1100</v>
      </c>
    </row>
    <row r="44" spans="1:58" s="15" customFormat="1" ht="12.75" x14ac:dyDescent="0.2">
      <c r="A44" s="6">
        <f>'Farmer Demand'!A44</f>
        <v>42</v>
      </c>
      <c r="B44" s="6" t="str">
        <f>'Farmer Demand'!B44</f>
        <v>Haribati Marabi</v>
      </c>
      <c r="C44" s="6" t="str">
        <f>'Farmer Demand'!C44</f>
        <v>Sutti Bai</v>
      </c>
      <c r="D44" s="6">
        <f>'Farmer Demand'!D44</f>
        <v>0</v>
      </c>
      <c r="E44" s="6" t="str">
        <f>'Farmer Demand'!E44</f>
        <v>Yes</v>
      </c>
      <c r="F44" s="6" t="str">
        <f>'Farmer Demand'!F44</f>
        <v>Sakri</v>
      </c>
      <c r="G44" s="6" t="str">
        <f>'Farmer Demand'!G44</f>
        <v>Kiran</v>
      </c>
      <c r="H44" s="6" t="str">
        <f>'Farmer Demand'!H44</f>
        <v>Kharif</v>
      </c>
      <c r="I44" s="6" t="s">
        <v>29</v>
      </c>
      <c r="J44" s="10" t="s">
        <v>173</v>
      </c>
      <c r="K44" s="6" t="s">
        <v>29</v>
      </c>
      <c r="L44" s="6" t="str">
        <f>'Farmer Demand'!M44</f>
        <v>120 days</v>
      </c>
      <c r="M44" s="6">
        <v>1</v>
      </c>
      <c r="N44" s="6" t="s">
        <v>191</v>
      </c>
      <c r="O44" s="6"/>
      <c r="P44" s="6"/>
      <c r="Q44" s="6"/>
      <c r="R44" s="6" t="s">
        <v>31</v>
      </c>
      <c r="S44" s="6"/>
      <c r="T44" s="6" t="s">
        <v>254</v>
      </c>
      <c r="U44" s="6" t="s">
        <v>31</v>
      </c>
      <c r="V44" s="6" t="s">
        <v>229</v>
      </c>
      <c r="W44" s="6" t="s">
        <v>229</v>
      </c>
      <c r="X44" s="6" t="s">
        <v>31</v>
      </c>
      <c r="Y44" s="6" t="s">
        <v>229</v>
      </c>
      <c r="Z44" s="6" t="s">
        <v>229</v>
      </c>
      <c r="AA44" s="6" t="s">
        <v>31</v>
      </c>
      <c r="AB44" s="6" t="s">
        <v>229</v>
      </c>
      <c r="AC44" s="6" t="s">
        <v>229</v>
      </c>
      <c r="AD44" s="6" t="s">
        <v>31</v>
      </c>
      <c r="AE44" s="6" t="s">
        <v>229</v>
      </c>
      <c r="AF44" s="6" t="s">
        <v>229</v>
      </c>
      <c r="AG44" s="6" t="s">
        <v>31</v>
      </c>
      <c r="AH44" s="6" t="s">
        <v>229</v>
      </c>
      <c r="AI44" s="6" t="s">
        <v>229</v>
      </c>
      <c r="AJ44" s="6"/>
      <c r="AK44" s="6"/>
      <c r="AL44" s="6"/>
      <c r="AM44" s="6"/>
      <c r="AN44" s="6"/>
      <c r="AO44" s="6"/>
      <c r="AP44" s="6"/>
      <c r="AQ44" s="6"/>
      <c r="AR44" s="6"/>
      <c r="AS44" s="6" t="s">
        <v>29</v>
      </c>
      <c r="AT44" s="6">
        <v>1</v>
      </c>
      <c r="AU44" s="6" t="s">
        <v>191</v>
      </c>
      <c r="AV44" s="6" t="s">
        <v>29</v>
      </c>
      <c r="AW44" s="6">
        <v>1</v>
      </c>
      <c r="AX44" s="6" t="s">
        <v>191</v>
      </c>
      <c r="AY44" s="6" t="s">
        <v>29</v>
      </c>
      <c r="AZ44" s="6">
        <v>1</v>
      </c>
      <c r="BA44" s="6" t="s">
        <v>191</v>
      </c>
      <c r="BB44" s="6" t="s">
        <v>29</v>
      </c>
      <c r="BC44" s="6">
        <v>1</v>
      </c>
      <c r="BD44" s="6" t="s">
        <v>191</v>
      </c>
      <c r="BE44" s="6">
        <v>900</v>
      </c>
      <c r="BF44" s="6">
        <f>BE44+'Farmer Demand'!K44</f>
        <v>1100</v>
      </c>
    </row>
    <row r="45" spans="1:58" s="15" customFormat="1" ht="12.75" x14ac:dyDescent="0.2">
      <c r="A45" s="6">
        <f>'Farmer Demand'!A45</f>
        <v>43</v>
      </c>
      <c r="B45" s="6" t="str">
        <f>'Farmer Demand'!B45</f>
        <v>Haribati Marabi</v>
      </c>
      <c r="C45" s="6" t="str">
        <f>'Farmer Demand'!C45</f>
        <v>Titri Bai</v>
      </c>
      <c r="D45" s="6">
        <f>'Farmer Demand'!D45</f>
        <v>0</v>
      </c>
      <c r="E45" s="6" t="str">
        <f>'Farmer Demand'!E45</f>
        <v>No</v>
      </c>
      <c r="F45" s="6" t="str">
        <f>'Farmer Demand'!F45</f>
        <v>Sakri</v>
      </c>
      <c r="G45" s="6" t="str">
        <f>'Farmer Demand'!G45</f>
        <v>Kiran</v>
      </c>
      <c r="H45" s="6" t="str">
        <f>'Farmer Demand'!H45</f>
        <v>Kharif</v>
      </c>
      <c r="I45" s="6" t="s">
        <v>29</v>
      </c>
      <c r="J45" s="10" t="s">
        <v>173</v>
      </c>
      <c r="K45" s="6" t="s">
        <v>29</v>
      </c>
      <c r="L45" s="6" t="str">
        <f>'Farmer Demand'!M45</f>
        <v>120 days</v>
      </c>
      <c r="M45" s="6">
        <v>1</v>
      </c>
      <c r="N45" s="6" t="s">
        <v>191</v>
      </c>
      <c r="O45" s="6"/>
      <c r="P45" s="6"/>
      <c r="Q45" s="6"/>
      <c r="R45" s="6" t="s">
        <v>31</v>
      </c>
      <c r="S45" s="6"/>
      <c r="T45" s="6" t="s">
        <v>254</v>
      </c>
      <c r="U45" s="6" t="s">
        <v>31</v>
      </c>
      <c r="V45" s="6" t="s">
        <v>229</v>
      </c>
      <c r="W45" s="6" t="s">
        <v>229</v>
      </c>
      <c r="X45" s="6" t="s">
        <v>31</v>
      </c>
      <c r="Y45" s="6" t="s">
        <v>229</v>
      </c>
      <c r="Z45" s="6" t="s">
        <v>229</v>
      </c>
      <c r="AA45" s="6" t="s">
        <v>31</v>
      </c>
      <c r="AB45" s="6" t="s">
        <v>229</v>
      </c>
      <c r="AC45" s="6" t="s">
        <v>229</v>
      </c>
      <c r="AD45" s="6" t="s">
        <v>31</v>
      </c>
      <c r="AE45" s="6" t="s">
        <v>229</v>
      </c>
      <c r="AF45" s="6" t="s">
        <v>229</v>
      </c>
      <c r="AG45" s="6" t="s">
        <v>31</v>
      </c>
      <c r="AH45" s="6" t="s">
        <v>229</v>
      </c>
      <c r="AI45" s="6" t="s">
        <v>229</v>
      </c>
      <c r="AJ45" s="6"/>
      <c r="AK45" s="6"/>
      <c r="AL45" s="6"/>
      <c r="AM45" s="6"/>
      <c r="AN45" s="6"/>
      <c r="AO45" s="6"/>
      <c r="AP45" s="6"/>
      <c r="AQ45" s="6"/>
      <c r="AR45" s="6"/>
      <c r="AS45" s="6" t="s">
        <v>29</v>
      </c>
      <c r="AT45" s="6">
        <v>1</v>
      </c>
      <c r="AU45" s="6" t="s">
        <v>191</v>
      </c>
      <c r="AV45" s="6" t="s">
        <v>29</v>
      </c>
      <c r="AW45" s="6">
        <v>1</v>
      </c>
      <c r="AX45" s="6" t="s">
        <v>191</v>
      </c>
      <c r="AY45" s="6" t="s">
        <v>31</v>
      </c>
      <c r="AZ45" s="6" t="s">
        <v>229</v>
      </c>
      <c r="BA45" s="6" t="s">
        <v>229</v>
      </c>
      <c r="BB45" s="6" t="s">
        <v>29</v>
      </c>
      <c r="BC45" s="6">
        <v>1</v>
      </c>
      <c r="BD45" s="6" t="s">
        <v>191</v>
      </c>
      <c r="BE45" s="6">
        <v>900</v>
      </c>
      <c r="BF45" s="6">
        <f>BE45+'Farmer Demand'!K45</f>
        <v>1100</v>
      </c>
    </row>
    <row r="46" spans="1:58" s="15" customFormat="1" ht="12.75" x14ac:dyDescent="0.2">
      <c r="A46" s="6">
        <f>'Farmer Demand'!A46</f>
        <v>44</v>
      </c>
      <c r="B46" s="6" t="str">
        <f>'Farmer Demand'!B46</f>
        <v>Haribati Marabi</v>
      </c>
      <c r="C46" s="6" t="str">
        <f>'Farmer Demand'!C46</f>
        <v>Mindal Bai</v>
      </c>
      <c r="D46" s="6">
        <f>'Farmer Demand'!D46</f>
        <v>0</v>
      </c>
      <c r="E46" s="6" t="str">
        <f>'Farmer Demand'!E46</f>
        <v>Yes</v>
      </c>
      <c r="F46" s="6" t="str">
        <f>'Farmer Demand'!F46</f>
        <v>Sakri</v>
      </c>
      <c r="G46" s="6" t="str">
        <f>'Farmer Demand'!G46</f>
        <v>Safed Palash</v>
      </c>
      <c r="H46" s="6" t="str">
        <f>'Farmer Demand'!H46</f>
        <v>Kharif</v>
      </c>
      <c r="I46" s="6" t="s">
        <v>29</v>
      </c>
      <c r="J46" s="10" t="s">
        <v>173</v>
      </c>
      <c r="K46" s="6" t="s">
        <v>29</v>
      </c>
      <c r="L46" s="6" t="str">
        <f>'Farmer Demand'!M46</f>
        <v>120 days</v>
      </c>
      <c r="M46" s="6">
        <v>1</v>
      </c>
      <c r="N46" s="6" t="s">
        <v>191</v>
      </c>
      <c r="O46" s="6"/>
      <c r="P46" s="6"/>
      <c r="Q46" s="6"/>
      <c r="R46" s="6" t="s">
        <v>31</v>
      </c>
      <c r="S46" s="6"/>
      <c r="T46" s="6" t="s">
        <v>254</v>
      </c>
      <c r="U46" s="6" t="s">
        <v>31</v>
      </c>
      <c r="V46" s="6" t="s">
        <v>229</v>
      </c>
      <c r="W46" s="6" t="s">
        <v>229</v>
      </c>
      <c r="X46" s="6" t="s">
        <v>31</v>
      </c>
      <c r="Y46" s="6" t="s">
        <v>229</v>
      </c>
      <c r="Z46" s="6" t="s">
        <v>229</v>
      </c>
      <c r="AA46" s="6" t="s">
        <v>31</v>
      </c>
      <c r="AB46" s="6" t="s">
        <v>229</v>
      </c>
      <c r="AC46" s="6" t="s">
        <v>229</v>
      </c>
      <c r="AD46" s="6" t="s">
        <v>31</v>
      </c>
      <c r="AE46" s="6" t="s">
        <v>229</v>
      </c>
      <c r="AF46" s="6" t="s">
        <v>229</v>
      </c>
      <c r="AG46" s="6" t="s">
        <v>31</v>
      </c>
      <c r="AH46" s="6" t="s">
        <v>229</v>
      </c>
      <c r="AI46" s="6" t="s">
        <v>229</v>
      </c>
      <c r="AJ46" s="6"/>
      <c r="AK46" s="6"/>
      <c r="AL46" s="6"/>
      <c r="AM46" s="6"/>
      <c r="AN46" s="6"/>
      <c r="AO46" s="6"/>
      <c r="AP46" s="6"/>
      <c r="AQ46" s="6"/>
      <c r="AR46" s="6"/>
      <c r="AS46" s="6" t="s">
        <v>29</v>
      </c>
      <c r="AT46" s="6">
        <v>1</v>
      </c>
      <c r="AU46" s="6" t="s">
        <v>191</v>
      </c>
      <c r="AV46" s="6" t="s">
        <v>29</v>
      </c>
      <c r="AW46" s="6">
        <v>1</v>
      </c>
      <c r="AX46" s="6" t="s">
        <v>191</v>
      </c>
      <c r="AY46" s="6" t="s">
        <v>31</v>
      </c>
      <c r="AZ46" s="6" t="s">
        <v>229</v>
      </c>
      <c r="BA46" s="6" t="s">
        <v>229</v>
      </c>
      <c r="BB46" s="6" t="s">
        <v>29</v>
      </c>
      <c r="BC46" s="6">
        <v>1</v>
      </c>
      <c r="BD46" s="6" t="s">
        <v>191</v>
      </c>
      <c r="BE46" s="6">
        <v>900</v>
      </c>
      <c r="BF46" s="6">
        <f>BE46+'Farmer Demand'!K46</f>
        <v>1100</v>
      </c>
    </row>
    <row r="47" spans="1:58" s="15" customFormat="1" ht="12.75" x14ac:dyDescent="0.2">
      <c r="A47" s="6">
        <f>'Farmer Demand'!A47</f>
        <v>45</v>
      </c>
      <c r="B47" s="6" t="str">
        <f>'Farmer Demand'!B47</f>
        <v>Haribati Marabi</v>
      </c>
      <c r="C47" s="6" t="str">
        <f>'Farmer Demand'!C47</f>
        <v>Sammal Bai</v>
      </c>
      <c r="D47" s="6">
        <f>'Farmer Demand'!D47</f>
        <v>0</v>
      </c>
      <c r="E47" s="6" t="str">
        <f>'Farmer Demand'!E47</f>
        <v>Yes</v>
      </c>
      <c r="F47" s="6" t="str">
        <f>'Farmer Demand'!F47</f>
        <v>Sakri</v>
      </c>
      <c r="G47" s="6" t="str">
        <f>'Farmer Demand'!G47</f>
        <v>Safed Palash</v>
      </c>
      <c r="H47" s="6" t="str">
        <f>'Farmer Demand'!H47</f>
        <v>Kharif</v>
      </c>
      <c r="I47" s="6" t="s">
        <v>29</v>
      </c>
      <c r="J47" s="10" t="s">
        <v>173</v>
      </c>
      <c r="K47" s="6" t="s">
        <v>29</v>
      </c>
      <c r="L47" s="6" t="str">
        <f>'Farmer Demand'!M47</f>
        <v>120 days</v>
      </c>
      <c r="M47" s="6">
        <v>1</v>
      </c>
      <c r="N47" s="6" t="s">
        <v>191</v>
      </c>
      <c r="O47" s="6"/>
      <c r="P47" s="6"/>
      <c r="Q47" s="6"/>
      <c r="R47" s="6" t="s">
        <v>31</v>
      </c>
      <c r="S47" s="6"/>
      <c r="T47" s="6" t="s">
        <v>254</v>
      </c>
      <c r="U47" s="6" t="s">
        <v>31</v>
      </c>
      <c r="V47" s="6" t="s">
        <v>229</v>
      </c>
      <c r="W47" s="6" t="s">
        <v>229</v>
      </c>
      <c r="X47" s="6" t="s">
        <v>31</v>
      </c>
      <c r="Y47" s="6" t="s">
        <v>229</v>
      </c>
      <c r="Z47" s="6" t="s">
        <v>229</v>
      </c>
      <c r="AA47" s="6" t="s">
        <v>31</v>
      </c>
      <c r="AB47" s="6" t="s">
        <v>229</v>
      </c>
      <c r="AC47" s="6" t="s">
        <v>229</v>
      </c>
      <c r="AD47" s="6" t="s">
        <v>31</v>
      </c>
      <c r="AE47" s="6" t="s">
        <v>229</v>
      </c>
      <c r="AF47" s="6" t="s">
        <v>229</v>
      </c>
      <c r="AG47" s="6" t="s">
        <v>31</v>
      </c>
      <c r="AH47" s="6" t="s">
        <v>229</v>
      </c>
      <c r="AI47" s="6" t="s">
        <v>229</v>
      </c>
      <c r="AJ47" s="6"/>
      <c r="AK47" s="6"/>
      <c r="AL47" s="6"/>
      <c r="AM47" s="6"/>
      <c r="AN47" s="6"/>
      <c r="AO47" s="6"/>
      <c r="AP47" s="6"/>
      <c r="AQ47" s="6"/>
      <c r="AR47" s="6"/>
      <c r="AS47" s="6" t="s">
        <v>29</v>
      </c>
      <c r="AT47" s="6">
        <v>1</v>
      </c>
      <c r="AU47" s="6" t="s">
        <v>191</v>
      </c>
      <c r="AV47" s="6" t="s">
        <v>29</v>
      </c>
      <c r="AW47" s="6">
        <v>1</v>
      </c>
      <c r="AX47" s="6" t="s">
        <v>191</v>
      </c>
      <c r="AY47" s="6" t="s">
        <v>31</v>
      </c>
      <c r="AZ47" s="6" t="s">
        <v>229</v>
      </c>
      <c r="BA47" s="6" t="s">
        <v>229</v>
      </c>
      <c r="BB47" s="6" t="s">
        <v>29</v>
      </c>
      <c r="BC47" s="6">
        <v>1</v>
      </c>
      <c r="BD47" s="6" t="s">
        <v>191</v>
      </c>
      <c r="BE47" s="6">
        <v>900</v>
      </c>
      <c r="BF47" s="6">
        <f>BE47+'Farmer Demand'!K47</f>
        <v>1100</v>
      </c>
    </row>
    <row r="48" spans="1:58" s="15" customFormat="1" ht="12.75" x14ac:dyDescent="0.2">
      <c r="A48" s="6">
        <f>'Farmer Demand'!A48</f>
        <v>46</v>
      </c>
      <c r="B48" s="6" t="str">
        <f>'Farmer Demand'!B48</f>
        <v>Anita Biswakarma</v>
      </c>
      <c r="C48" s="6" t="str">
        <f>'Farmer Demand'!C48</f>
        <v>Anita Bai</v>
      </c>
      <c r="D48" s="6">
        <f>'Farmer Demand'!D48</f>
        <v>0</v>
      </c>
      <c r="E48" s="6" t="str">
        <f>'Farmer Demand'!E48</f>
        <v>No</v>
      </c>
      <c r="F48" s="6" t="str">
        <f>'Farmer Demand'!F48</f>
        <v>Dupta</v>
      </c>
      <c r="G48" s="6" t="str">
        <f>'Farmer Demand'!G48</f>
        <v>Maa Narmada</v>
      </c>
      <c r="H48" s="6" t="str">
        <f>'Farmer Demand'!H48</f>
        <v>Kharif</v>
      </c>
      <c r="I48" s="6" t="s">
        <v>29</v>
      </c>
      <c r="J48" s="10" t="s">
        <v>173</v>
      </c>
      <c r="K48" s="6" t="s">
        <v>29</v>
      </c>
      <c r="L48" s="6" t="str">
        <f>'Farmer Demand'!M48</f>
        <v>120 days</v>
      </c>
      <c r="M48" s="6">
        <v>1</v>
      </c>
      <c r="N48" s="6" t="s">
        <v>191</v>
      </c>
      <c r="O48" s="6"/>
      <c r="P48" s="6"/>
      <c r="Q48" s="6"/>
      <c r="R48" s="6" t="s">
        <v>31</v>
      </c>
      <c r="S48" s="6"/>
      <c r="T48" s="6" t="s">
        <v>254</v>
      </c>
      <c r="U48" s="6" t="s">
        <v>31</v>
      </c>
      <c r="V48" s="6" t="s">
        <v>229</v>
      </c>
      <c r="W48" s="6" t="s">
        <v>229</v>
      </c>
      <c r="X48" s="6" t="s">
        <v>31</v>
      </c>
      <c r="Y48" s="6" t="s">
        <v>229</v>
      </c>
      <c r="Z48" s="6" t="s">
        <v>229</v>
      </c>
      <c r="AA48" s="6" t="s">
        <v>31</v>
      </c>
      <c r="AB48" s="6" t="s">
        <v>229</v>
      </c>
      <c r="AC48" s="6" t="s">
        <v>229</v>
      </c>
      <c r="AD48" s="6" t="s">
        <v>31</v>
      </c>
      <c r="AE48" s="6" t="s">
        <v>229</v>
      </c>
      <c r="AF48" s="6" t="s">
        <v>229</v>
      </c>
      <c r="AG48" s="6" t="s">
        <v>31</v>
      </c>
      <c r="AH48" s="6" t="s">
        <v>229</v>
      </c>
      <c r="AI48" s="6" t="s">
        <v>229</v>
      </c>
      <c r="AJ48" s="6"/>
      <c r="AK48" s="6"/>
      <c r="AL48" s="6"/>
      <c r="AM48" s="6"/>
      <c r="AN48" s="6"/>
      <c r="AO48" s="6"/>
      <c r="AP48" s="6"/>
      <c r="AQ48" s="6"/>
      <c r="AR48" s="6"/>
      <c r="AS48" s="6" t="s">
        <v>29</v>
      </c>
      <c r="AT48" s="6">
        <v>1</v>
      </c>
      <c r="AU48" s="6" t="s">
        <v>191</v>
      </c>
      <c r="AV48" s="6" t="s">
        <v>29</v>
      </c>
      <c r="AW48" s="6">
        <v>1</v>
      </c>
      <c r="AX48" s="6" t="s">
        <v>191</v>
      </c>
      <c r="AY48" s="6" t="s">
        <v>31</v>
      </c>
      <c r="AZ48" s="6" t="s">
        <v>229</v>
      </c>
      <c r="BA48" s="6" t="s">
        <v>229</v>
      </c>
      <c r="BB48" s="6" t="s">
        <v>29</v>
      </c>
      <c r="BC48" s="6">
        <v>1</v>
      </c>
      <c r="BD48" s="6" t="s">
        <v>191</v>
      </c>
      <c r="BE48" s="6">
        <v>900</v>
      </c>
      <c r="BF48" s="6">
        <f>BE48+'Farmer Demand'!K48</f>
        <v>1100</v>
      </c>
    </row>
    <row r="49" spans="1:58" s="15" customFormat="1" ht="12.75" x14ac:dyDescent="0.2">
      <c r="A49" s="6">
        <f>'Farmer Demand'!A49</f>
        <v>47</v>
      </c>
      <c r="B49" s="6" t="str">
        <f>'Farmer Demand'!B49</f>
        <v>Anita Biswakarma</v>
      </c>
      <c r="C49" s="6" t="str">
        <f>'Farmer Demand'!C49</f>
        <v>Anjana</v>
      </c>
      <c r="D49" s="6">
        <f>'Farmer Demand'!D49</f>
        <v>0</v>
      </c>
      <c r="E49" s="6" t="str">
        <f>'Farmer Demand'!E49</f>
        <v>No</v>
      </c>
      <c r="F49" s="6" t="str">
        <f>'Farmer Demand'!F49</f>
        <v>Dupta</v>
      </c>
      <c r="G49" s="6" t="str">
        <f>'Farmer Demand'!G49</f>
        <v>Maa Narmada</v>
      </c>
      <c r="H49" s="6" t="str">
        <f>'Farmer Demand'!H49</f>
        <v>Kharif</v>
      </c>
      <c r="I49" s="6" t="s">
        <v>29</v>
      </c>
      <c r="J49" s="10" t="s">
        <v>173</v>
      </c>
      <c r="K49" s="6" t="s">
        <v>29</v>
      </c>
      <c r="L49" s="6" t="str">
        <f>'Farmer Demand'!M49</f>
        <v>120 days</v>
      </c>
      <c r="M49" s="6">
        <v>1</v>
      </c>
      <c r="N49" s="6" t="s">
        <v>191</v>
      </c>
      <c r="O49" s="6"/>
      <c r="P49" s="6"/>
      <c r="Q49" s="6"/>
      <c r="R49" s="6" t="s">
        <v>31</v>
      </c>
      <c r="S49" s="6"/>
      <c r="T49" s="6" t="s">
        <v>254</v>
      </c>
      <c r="U49" s="6" t="s">
        <v>31</v>
      </c>
      <c r="V49" s="6" t="s">
        <v>229</v>
      </c>
      <c r="W49" s="6" t="s">
        <v>229</v>
      </c>
      <c r="X49" s="6" t="s">
        <v>31</v>
      </c>
      <c r="Y49" s="6" t="s">
        <v>229</v>
      </c>
      <c r="Z49" s="6" t="s">
        <v>229</v>
      </c>
      <c r="AA49" s="6" t="s">
        <v>31</v>
      </c>
      <c r="AB49" s="6" t="s">
        <v>229</v>
      </c>
      <c r="AC49" s="6" t="s">
        <v>229</v>
      </c>
      <c r="AD49" s="6" t="s">
        <v>31</v>
      </c>
      <c r="AE49" s="6" t="s">
        <v>229</v>
      </c>
      <c r="AF49" s="6" t="s">
        <v>229</v>
      </c>
      <c r="AG49" s="6" t="s">
        <v>31</v>
      </c>
      <c r="AH49" s="6" t="s">
        <v>229</v>
      </c>
      <c r="AI49" s="6" t="s">
        <v>229</v>
      </c>
      <c r="AJ49" s="6"/>
      <c r="AK49" s="6"/>
      <c r="AL49" s="6"/>
      <c r="AM49" s="6"/>
      <c r="AN49" s="6"/>
      <c r="AO49" s="6"/>
      <c r="AP49" s="6"/>
      <c r="AQ49" s="6"/>
      <c r="AR49" s="6"/>
      <c r="AS49" s="6" t="s">
        <v>29</v>
      </c>
      <c r="AT49" s="6">
        <v>1</v>
      </c>
      <c r="AU49" s="6" t="s">
        <v>191</v>
      </c>
      <c r="AV49" s="6" t="s">
        <v>29</v>
      </c>
      <c r="AW49" s="6">
        <v>1</v>
      </c>
      <c r="AX49" s="6" t="s">
        <v>191</v>
      </c>
      <c r="AY49" s="6" t="s">
        <v>29</v>
      </c>
      <c r="AZ49" s="6">
        <v>1</v>
      </c>
      <c r="BA49" s="6" t="s">
        <v>191</v>
      </c>
      <c r="BB49" s="6" t="s">
        <v>29</v>
      </c>
      <c r="BC49" s="6">
        <v>1</v>
      </c>
      <c r="BD49" s="6" t="s">
        <v>191</v>
      </c>
      <c r="BE49" s="6">
        <v>900</v>
      </c>
      <c r="BF49" s="6">
        <f>BE49+'Farmer Demand'!K49</f>
        <v>1100</v>
      </c>
    </row>
    <row r="50" spans="1:58" s="15" customFormat="1" ht="12.75" x14ac:dyDescent="0.2">
      <c r="A50" s="6">
        <f>'Farmer Demand'!A50</f>
        <v>48</v>
      </c>
      <c r="B50" s="6" t="str">
        <f>'Farmer Demand'!B50</f>
        <v>Anita Biswakarma</v>
      </c>
      <c r="C50" s="6" t="str">
        <f>'Farmer Demand'!C50</f>
        <v>Basanti Bai</v>
      </c>
      <c r="D50" s="6">
        <f>'Farmer Demand'!D50</f>
        <v>0</v>
      </c>
      <c r="E50" s="6" t="str">
        <f>'Farmer Demand'!E50</f>
        <v>No</v>
      </c>
      <c r="F50" s="6" t="str">
        <f>'Farmer Demand'!F50</f>
        <v>Dupta</v>
      </c>
      <c r="G50" s="6" t="str">
        <f>'Farmer Demand'!G50</f>
        <v>Maa Narmada</v>
      </c>
      <c r="H50" s="6" t="str">
        <f>'Farmer Demand'!H50</f>
        <v>Kharif</v>
      </c>
      <c r="I50" s="6" t="s">
        <v>31</v>
      </c>
      <c r="J50" s="16" t="s">
        <v>39</v>
      </c>
      <c r="K50" s="6" t="s">
        <v>31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>
        <f>BE50+'Farmer Demand'!K50</f>
        <v>200</v>
      </c>
    </row>
    <row r="51" spans="1:58" s="15" customFormat="1" ht="12.75" x14ac:dyDescent="0.2">
      <c r="A51" s="6">
        <f>'Farmer Demand'!A51</f>
        <v>49</v>
      </c>
      <c r="B51" s="6" t="str">
        <f>'Farmer Demand'!B51</f>
        <v>Anita Biswakarma</v>
      </c>
      <c r="C51" s="6" t="str">
        <f>'Farmer Demand'!C51</f>
        <v>Bhagoti Bai</v>
      </c>
      <c r="D51" s="6">
        <f>'Farmer Demand'!D51</f>
        <v>0</v>
      </c>
      <c r="E51" s="6" t="str">
        <f>'Farmer Demand'!E51</f>
        <v>No</v>
      </c>
      <c r="F51" s="6" t="str">
        <f>'Farmer Demand'!F51</f>
        <v>Dupta</v>
      </c>
      <c r="G51" s="6" t="str">
        <f>'Farmer Demand'!G51</f>
        <v>Maa Narmada</v>
      </c>
      <c r="H51" s="6" t="str">
        <f>'Farmer Demand'!H51</f>
        <v>Kharif</v>
      </c>
      <c r="I51" s="6" t="s">
        <v>31</v>
      </c>
      <c r="J51" s="16" t="s">
        <v>42</v>
      </c>
      <c r="K51" s="6" t="s">
        <v>31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>
        <f>BE51+'Farmer Demand'!K51</f>
        <v>200</v>
      </c>
    </row>
    <row r="52" spans="1:58" s="15" customFormat="1" ht="12.75" x14ac:dyDescent="0.2">
      <c r="A52" s="6">
        <f>'Farmer Demand'!A52</f>
        <v>50</v>
      </c>
      <c r="B52" s="6" t="str">
        <f>'Farmer Demand'!B52</f>
        <v>Anita Biswakarma</v>
      </c>
      <c r="C52" s="6" t="str">
        <f>'Farmer Demand'!C52</f>
        <v>Devki Bai</v>
      </c>
      <c r="D52" s="6">
        <f>'Farmer Demand'!D52</f>
        <v>0</v>
      </c>
      <c r="E52" s="6" t="str">
        <f>'Farmer Demand'!E52</f>
        <v>No</v>
      </c>
      <c r="F52" s="6" t="str">
        <f>'Farmer Demand'!F52</f>
        <v>Dupta</v>
      </c>
      <c r="G52" s="6" t="str">
        <f>'Farmer Demand'!G52</f>
        <v>Maa Narmada</v>
      </c>
      <c r="H52" s="6" t="str">
        <f>'Farmer Demand'!H52</f>
        <v>Kharif</v>
      </c>
      <c r="I52" s="6" t="s">
        <v>31</v>
      </c>
      <c r="J52" s="16" t="s">
        <v>49</v>
      </c>
      <c r="K52" s="6" t="s">
        <v>31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>
        <f>BE52+'Farmer Demand'!K52</f>
        <v>200</v>
      </c>
    </row>
    <row r="53" spans="1:58" s="15" customFormat="1" ht="12.75" x14ac:dyDescent="0.2">
      <c r="A53" s="6">
        <f>'Farmer Demand'!A53</f>
        <v>51</v>
      </c>
      <c r="B53" s="6" t="str">
        <f>'Farmer Demand'!B53</f>
        <v>Anita Biswakarma</v>
      </c>
      <c r="C53" s="6" t="str">
        <f>'Farmer Demand'!C53</f>
        <v>Indarwati bai</v>
      </c>
      <c r="D53" s="6">
        <f>'Farmer Demand'!D53</f>
        <v>0</v>
      </c>
      <c r="E53" s="6" t="str">
        <f>'Farmer Demand'!E53</f>
        <v>No</v>
      </c>
      <c r="F53" s="6" t="str">
        <f>'Farmer Demand'!F53</f>
        <v>Dupta</v>
      </c>
      <c r="G53" s="6" t="str">
        <f>'Farmer Demand'!G53</f>
        <v>Maa Narmada</v>
      </c>
      <c r="H53" s="6" t="str">
        <f>'Farmer Demand'!H53</f>
        <v>Kharif</v>
      </c>
      <c r="I53" s="6" t="s">
        <v>31</v>
      </c>
      <c r="J53" s="16" t="s">
        <v>49</v>
      </c>
      <c r="K53" s="6" t="s">
        <v>31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>
        <f>BE53+'Farmer Demand'!K53</f>
        <v>200</v>
      </c>
    </row>
    <row r="54" spans="1:58" s="15" customFormat="1" ht="12.75" x14ac:dyDescent="0.2">
      <c r="A54" s="6">
        <f>'Farmer Demand'!A54</f>
        <v>52</v>
      </c>
      <c r="B54" s="6" t="str">
        <f>'Farmer Demand'!B54</f>
        <v>Anita Biswakarma</v>
      </c>
      <c r="C54" s="6" t="str">
        <f>'Farmer Demand'!C54</f>
        <v>Laxmi Dhurwey</v>
      </c>
      <c r="D54" s="6">
        <f>'Farmer Demand'!D54</f>
        <v>0</v>
      </c>
      <c r="E54" s="6" t="str">
        <f>'Farmer Demand'!E54</f>
        <v>No</v>
      </c>
      <c r="F54" s="6" t="str">
        <f>'Farmer Demand'!F54</f>
        <v>Dupta</v>
      </c>
      <c r="G54" s="6" t="str">
        <f>'Farmer Demand'!G54</f>
        <v>Maa Narmada</v>
      </c>
      <c r="H54" s="6" t="str">
        <f>'Farmer Demand'!H54</f>
        <v>Kharif</v>
      </c>
      <c r="I54" s="6" t="s">
        <v>31</v>
      </c>
      <c r="J54" s="16" t="s">
        <v>49</v>
      </c>
      <c r="K54" s="6" t="s">
        <v>31</v>
      </c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>
        <f>BE54+'Farmer Demand'!K54</f>
        <v>200</v>
      </c>
    </row>
    <row r="55" spans="1:58" s="15" customFormat="1" ht="12.75" x14ac:dyDescent="0.2">
      <c r="A55" s="6">
        <f>'Farmer Demand'!A55</f>
        <v>53</v>
      </c>
      <c r="B55" s="6" t="str">
        <f>'Farmer Demand'!B55</f>
        <v>Anita Biswakarma</v>
      </c>
      <c r="C55" s="6" t="str">
        <f>'Farmer Demand'!C55</f>
        <v>Muliya Bai</v>
      </c>
      <c r="D55" s="6">
        <f>'Farmer Demand'!D55</f>
        <v>0</v>
      </c>
      <c r="E55" s="6" t="str">
        <f>'Farmer Demand'!E55</f>
        <v>No</v>
      </c>
      <c r="F55" s="6" t="str">
        <f>'Farmer Demand'!F55</f>
        <v>Dupta</v>
      </c>
      <c r="G55" s="6" t="str">
        <f>'Farmer Demand'!G55</f>
        <v>Maa Narmada</v>
      </c>
      <c r="H55" s="6" t="str">
        <f>'Farmer Demand'!H55</f>
        <v>Kharif</v>
      </c>
      <c r="I55" s="6" t="s">
        <v>31</v>
      </c>
      <c r="J55" s="16" t="s">
        <v>49</v>
      </c>
      <c r="K55" s="6" t="s">
        <v>31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>
        <f>BE55+'Farmer Demand'!K55</f>
        <v>200</v>
      </c>
    </row>
    <row r="56" spans="1:58" s="15" customFormat="1" ht="12.75" x14ac:dyDescent="0.2">
      <c r="A56" s="6">
        <f>'Farmer Demand'!A56</f>
        <v>54</v>
      </c>
      <c r="B56" s="6" t="str">
        <f>'Farmer Demand'!B56</f>
        <v>Anita Biswakarma</v>
      </c>
      <c r="C56" s="6" t="str">
        <f>'Farmer Demand'!C56</f>
        <v>Para Bai</v>
      </c>
      <c r="D56" s="6">
        <f>'Farmer Demand'!D56</f>
        <v>0</v>
      </c>
      <c r="E56" s="6" t="str">
        <f>'Farmer Demand'!E56</f>
        <v>No</v>
      </c>
      <c r="F56" s="6" t="str">
        <f>'Farmer Demand'!F56</f>
        <v>Dupta</v>
      </c>
      <c r="G56" s="6" t="str">
        <f>'Farmer Demand'!G56</f>
        <v>Maa Narmada</v>
      </c>
      <c r="H56" s="6" t="str">
        <f>'Farmer Demand'!H56</f>
        <v>Kharif</v>
      </c>
      <c r="I56" s="6" t="s">
        <v>31</v>
      </c>
      <c r="J56" s="16" t="s">
        <v>49</v>
      </c>
      <c r="K56" s="6" t="s">
        <v>31</v>
      </c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>
        <f>BE56+'Farmer Demand'!K56</f>
        <v>200</v>
      </c>
    </row>
    <row r="57" spans="1:58" s="15" customFormat="1" ht="12.75" x14ac:dyDescent="0.2">
      <c r="A57" s="6">
        <f>'Farmer Demand'!A57</f>
        <v>55</v>
      </c>
      <c r="B57" s="6" t="str">
        <f>'Farmer Demand'!B57</f>
        <v>Anita Biswakarma</v>
      </c>
      <c r="C57" s="6" t="str">
        <f>'Farmer Demand'!C57</f>
        <v>Ramli Bai</v>
      </c>
      <c r="D57" s="6">
        <f>'Farmer Demand'!D57</f>
        <v>0</v>
      </c>
      <c r="E57" s="6" t="str">
        <f>'Farmer Demand'!E57</f>
        <v>No</v>
      </c>
      <c r="F57" s="6" t="str">
        <f>'Farmer Demand'!F57</f>
        <v>Dupta</v>
      </c>
      <c r="G57" s="6" t="str">
        <f>'Farmer Demand'!G57</f>
        <v>Maa Narmada</v>
      </c>
      <c r="H57" s="6" t="str">
        <f>'Farmer Demand'!H57</f>
        <v>Kharif</v>
      </c>
      <c r="I57" s="6" t="s">
        <v>31</v>
      </c>
      <c r="J57" s="16" t="s">
        <v>49</v>
      </c>
      <c r="K57" s="6" t="s">
        <v>31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>
        <f>BE57+'Farmer Demand'!K57</f>
        <v>200</v>
      </c>
    </row>
    <row r="58" spans="1:58" s="15" customFormat="1" ht="12.75" x14ac:dyDescent="0.2">
      <c r="A58" s="6">
        <f>'Farmer Demand'!A58</f>
        <v>56</v>
      </c>
      <c r="B58" s="6" t="str">
        <f>'Farmer Demand'!B58</f>
        <v>Anita Biswakarma</v>
      </c>
      <c r="C58" s="6" t="str">
        <f>'Farmer Demand'!C58</f>
        <v>Sandhya Bai</v>
      </c>
      <c r="D58" s="6">
        <f>'Farmer Demand'!D58</f>
        <v>0</v>
      </c>
      <c r="E58" s="6" t="str">
        <f>'Farmer Demand'!E58</f>
        <v>No</v>
      </c>
      <c r="F58" s="6" t="str">
        <f>'Farmer Demand'!F58</f>
        <v>Dupta</v>
      </c>
      <c r="G58" s="6" t="str">
        <f>'Farmer Demand'!G58</f>
        <v>Maa Narmada</v>
      </c>
      <c r="H58" s="6" t="str">
        <f>'Farmer Demand'!H58</f>
        <v>Kharif</v>
      </c>
      <c r="I58" s="6" t="s">
        <v>29</v>
      </c>
      <c r="J58" s="10" t="s">
        <v>173</v>
      </c>
      <c r="K58" s="6" t="s">
        <v>29</v>
      </c>
      <c r="L58" s="6" t="str">
        <f>'Farmer Demand'!M58</f>
        <v>120 days</v>
      </c>
      <c r="M58" s="6">
        <v>1</v>
      </c>
      <c r="N58" s="6" t="s">
        <v>191</v>
      </c>
      <c r="O58" s="6"/>
      <c r="P58" s="6"/>
      <c r="Q58" s="6"/>
      <c r="R58" s="6" t="s">
        <v>31</v>
      </c>
      <c r="S58" s="6"/>
      <c r="T58" s="6" t="s">
        <v>254</v>
      </c>
      <c r="U58" s="6" t="s">
        <v>31</v>
      </c>
      <c r="V58" s="6" t="s">
        <v>229</v>
      </c>
      <c r="W58" s="6" t="s">
        <v>229</v>
      </c>
      <c r="X58" s="6" t="s">
        <v>31</v>
      </c>
      <c r="Y58" s="6" t="s">
        <v>229</v>
      </c>
      <c r="Z58" s="6" t="s">
        <v>229</v>
      </c>
      <c r="AA58" s="6" t="s">
        <v>31</v>
      </c>
      <c r="AB58" s="6" t="s">
        <v>229</v>
      </c>
      <c r="AC58" s="6" t="s">
        <v>229</v>
      </c>
      <c r="AD58" s="6" t="s">
        <v>31</v>
      </c>
      <c r="AE58" s="6" t="s">
        <v>229</v>
      </c>
      <c r="AF58" s="6" t="s">
        <v>229</v>
      </c>
      <c r="AG58" s="6" t="s">
        <v>31</v>
      </c>
      <c r="AH58" s="6" t="s">
        <v>229</v>
      </c>
      <c r="AI58" s="6" t="s">
        <v>229</v>
      </c>
      <c r="AJ58" s="6"/>
      <c r="AK58" s="6"/>
      <c r="AL58" s="6"/>
      <c r="AM58" s="6"/>
      <c r="AN58" s="6"/>
      <c r="AO58" s="6"/>
      <c r="AP58" s="6"/>
      <c r="AQ58" s="6"/>
      <c r="AR58" s="6"/>
      <c r="AS58" s="6" t="s">
        <v>29</v>
      </c>
      <c r="AT58" s="6">
        <v>1</v>
      </c>
      <c r="AU58" s="6" t="s">
        <v>191</v>
      </c>
      <c r="AV58" s="6" t="s">
        <v>31</v>
      </c>
      <c r="AW58" s="6" t="s">
        <v>229</v>
      </c>
      <c r="AX58" s="6" t="s">
        <v>229</v>
      </c>
      <c r="AY58" s="6" t="s">
        <v>31</v>
      </c>
      <c r="AZ58" s="6" t="s">
        <v>229</v>
      </c>
      <c r="BA58" s="6" t="s">
        <v>229</v>
      </c>
      <c r="BB58" s="6" t="s">
        <v>29</v>
      </c>
      <c r="BC58" s="6">
        <v>1</v>
      </c>
      <c r="BD58" s="6" t="s">
        <v>191</v>
      </c>
      <c r="BE58" s="6">
        <v>900</v>
      </c>
      <c r="BF58" s="6">
        <f>BE58+'Farmer Demand'!K58</f>
        <v>1100</v>
      </c>
    </row>
    <row r="59" spans="1:58" s="15" customFormat="1" ht="12.75" x14ac:dyDescent="0.2">
      <c r="A59" s="6">
        <f>'Farmer Demand'!A59</f>
        <v>57</v>
      </c>
      <c r="B59" s="6" t="str">
        <f>'Farmer Demand'!B59</f>
        <v>Anita Biswakarma</v>
      </c>
      <c r="C59" s="6" t="str">
        <f>'Farmer Demand'!C59</f>
        <v>Santoshi Bai</v>
      </c>
      <c r="D59" s="6">
        <f>'Farmer Demand'!D59</f>
        <v>0</v>
      </c>
      <c r="E59" s="6" t="str">
        <f>'Farmer Demand'!E59</f>
        <v>No</v>
      </c>
      <c r="F59" s="6" t="str">
        <f>'Farmer Demand'!F59</f>
        <v>Dupta</v>
      </c>
      <c r="G59" s="6" t="str">
        <f>'Farmer Demand'!G59</f>
        <v>Maa Narmada</v>
      </c>
      <c r="H59" s="6" t="str">
        <f>'Farmer Demand'!H59</f>
        <v>Kharif</v>
      </c>
      <c r="I59" s="6" t="s">
        <v>29</v>
      </c>
      <c r="J59" s="10" t="s">
        <v>173</v>
      </c>
      <c r="K59" s="6" t="s">
        <v>29</v>
      </c>
      <c r="L59" s="6" t="str">
        <f>'Farmer Demand'!M59</f>
        <v>120 days</v>
      </c>
      <c r="M59" s="6">
        <v>2</v>
      </c>
      <c r="N59" s="6" t="s">
        <v>191</v>
      </c>
      <c r="O59" s="6"/>
      <c r="P59" s="6"/>
      <c r="Q59" s="6"/>
      <c r="R59" s="6" t="s">
        <v>31</v>
      </c>
      <c r="S59" s="6"/>
      <c r="T59" s="6" t="s">
        <v>254</v>
      </c>
      <c r="U59" s="6" t="s">
        <v>31</v>
      </c>
      <c r="V59" s="6" t="s">
        <v>229</v>
      </c>
      <c r="W59" s="6" t="s">
        <v>229</v>
      </c>
      <c r="X59" s="6" t="s">
        <v>31</v>
      </c>
      <c r="Y59" s="6" t="s">
        <v>229</v>
      </c>
      <c r="Z59" s="6" t="s">
        <v>229</v>
      </c>
      <c r="AA59" s="6" t="s">
        <v>31</v>
      </c>
      <c r="AB59" s="6" t="s">
        <v>229</v>
      </c>
      <c r="AC59" s="6" t="s">
        <v>229</v>
      </c>
      <c r="AD59" s="6" t="s">
        <v>31</v>
      </c>
      <c r="AE59" s="6" t="s">
        <v>229</v>
      </c>
      <c r="AF59" s="6" t="s">
        <v>229</v>
      </c>
      <c r="AG59" s="6" t="s">
        <v>31</v>
      </c>
      <c r="AH59" s="6" t="s">
        <v>229</v>
      </c>
      <c r="AI59" s="6" t="s">
        <v>229</v>
      </c>
      <c r="AJ59" s="6"/>
      <c r="AK59" s="6"/>
      <c r="AL59" s="6"/>
      <c r="AM59" s="6"/>
      <c r="AN59" s="6"/>
      <c r="AO59" s="6"/>
      <c r="AP59" s="6"/>
      <c r="AQ59" s="6"/>
      <c r="AR59" s="6"/>
      <c r="AS59" s="6" t="s">
        <v>29</v>
      </c>
      <c r="AT59" s="6">
        <v>1</v>
      </c>
      <c r="AU59" s="6" t="s">
        <v>191</v>
      </c>
      <c r="AV59" s="6" t="s">
        <v>31</v>
      </c>
      <c r="AW59" s="6" t="s">
        <v>229</v>
      </c>
      <c r="AX59" s="6" t="s">
        <v>229</v>
      </c>
      <c r="AY59" s="6" t="s">
        <v>31</v>
      </c>
      <c r="AZ59" s="6" t="s">
        <v>229</v>
      </c>
      <c r="BA59" s="6" t="s">
        <v>229</v>
      </c>
      <c r="BB59" s="6" t="s">
        <v>29</v>
      </c>
      <c r="BC59" s="6">
        <v>1</v>
      </c>
      <c r="BD59" s="6" t="s">
        <v>191</v>
      </c>
      <c r="BE59" s="6">
        <v>900</v>
      </c>
      <c r="BF59" s="6">
        <f>BE59+'Farmer Demand'!K59</f>
        <v>1100</v>
      </c>
    </row>
    <row r="60" spans="1:58" s="15" customFormat="1" ht="12.75" x14ac:dyDescent="0.2">
      <c r="A60" s="6">
        <f>'Farmer Demand'!A60</f>
        <v>58</v>
      </c>
      <c r="B60" s="6" t="str">
        <f>'Farmer Demand'!B60</f>
        <v>Nainwati Marawi</v>
      </c>
      <c r="C60" s="6" t="str">
        <f>'Farmer Demand'!C60</f>
        <v>Anita Bai</v>
      </c>
      <c r="D60" s="6">
        <f>'Farmer Demand'!D60</f>
        <v>0</v>
      </c>
      <c r="E60" s="6" t="str">
        <f>'Farmer Demand'!E60</f>
        <v>No</v>
      </c>
      <c r="F60" s="6" t="str">
        <f>'Farmer Demand'!F60</f>
        <v>Harra Tikur</v>
      </c>
      <c r="G60" s="6" t="str">
        <f>'Farmer Demand'!G60</f>
        <v>Chetna Ajeevika</v>
      </c>
      <c r="H60" s="6" t="str">
        <f>'Farmer Demand'!H60</f>
        <v>Kharif</v>
      </c>
      <c r="I60" s="6" t="s">
        <v>29</v>
      </c>
      <c r="J60" s="10" t="s">
        <v>173</v>
      </c>
      <c r="K60" s="6" t="s">
        <v>29</v>
      </c>
      <c r="L60" s="6" t="str">
        <f>'Farmer Demand'!M60</f>
        <v>120 days</v>
      </c>
      <c r="M60" s="6">
        <v>1</v>
      </c>
      <c r="N60" s="6" t="s">
        <v>191</v>
      </c>
      <c r="O60" s="6"/>
      <c r="P60" s="6"/>
      <c r="Q60" s="6"/>
      <c r="R60" s="6" t="s">
        <v>31</v>
      </c>
      <c r="S60" s="6"/>
      <c r="T60" s="6" t="s">
        <v>254</v>
      </c>
      <c r="U60" s="6" t="s">
        <v>31</v>
      </c>
      <c r="V60" s="6" t="s">
        <v>229</v>
      </c>
      <c r="W60" s="6" t="s">
        <v>229</v>
      </c>
      <c r="X60" s="6" t="s">
        <v>31</v>
      </c>
      <c r="Y60" s="6" t="s">
        <v>229</v>
      </c>
      <c r="Z60" s="6" t="s">
        <v>229</v>
      </c>
      <c r="AA60" s="6" t="s">
        <v>31</v>
      </c>
      <c r="AB60" s="6" t="s">
        <v>229</v>
      </c>
      <c r="AC60" s="6" t="s">
        <v>229</v>
      </c>
      <c r="AD60" s="6" t="s">
        <v>31</v>
      </c>
      <c r="AE60" s="6" t="s">
        <v>229</v>
      </c>
      <c r="AF60" s="6" t="s">
        <v>229</v>
      </c>
      <c r="AG60" s="6" t="s">
        <v>31</v>
      </c>
      <c r="AH60" s="6" t="s">
        <v>229</v>
      </c>
      <c r="AI60" s="6" t="s">
        <v>229</v>
      </c>
      <c r="AJ60" s="6"/>
      <c r="AK60" s="6"/>
      <c r="AL60" s="6"/>
      <c r="AM60" s="6"/>
      <c r="AN60" s="6"/>
      <c r="AO60" s="6"/>
      <c r="AP60" s="6"/>
      <c r="AQ60" s="6"/>
      <c r="AR60" s="6"/>
      <c r="AS60" s="6" t="s">
        <v>29</v>
      </c>
      <c r="AT60" s="6">
        <v>1</v>
      </c>
      <c r="AU60" s="6" t="s">
        <v>191</v>
      </c>
      <c r="AV60" s="6" t="s">
        <v>31</v>
      </c>
      <c r="AW60" s="6" t="s">
        <v>229</v>
      </c>
      <c r="AX60" s="6" t="s">
        <v>229</v>
      </c>
      <c r="AY60" s="6" t="s">
        <v>31</v>
      </c>
      <c r="AZ60" s="6" t="s">
        <v>229</v>
      </c>
      <c r="BA60" s="6" t="s">
        <v>229</v>
      </c>
      <c r="BB60" s="6" t="s">
        <v>29</v>
      </c>
      <c r="BC60" s="6">
        <v>1</v>
      </c>
      <c r="BD60" s="6" t="s">
        <v>191</v>
      </c>
      <c r="BE60" s="6">
        <v>900</v>
      </c>
      <c r="BF60" s="6">
        <f>BE60+'Farmer Demand'!K60</f>
        <v>1100</v>
      </c>
    </row>
    <row r="61" spans="1:58" s="15" customFormat="1" ht="12.75" x14ac:dyDescent="0.2">
      <c r="A61" s="6">
        <f>'Farmer Demand'!A61</f>
        <v>59</v>
      </c>
      <c r="B61" s="6" t="str">
        <f>'Farmer Demand'!B61</f>
        <v>Nainwati Marawi</v>
      </c>
      <c r="C61" s="6" t="str">
        <f>'Farmer Demand'!C61</f>
        <v>Baro bai</v>
      </c>
      <c r="D61" s="6">
        <f>'Farmer Demand'!D61</f>
        <v>0</v>
      </c>
      <c r="E61" s="6" t="str">
        <f>'Farmer Demand'!E61</f>
        <v>No</v>
      </c>
      <c r="F61" s="6" t="str">
        <f>'Farmer Demand'!F61</f>
        <v>Harra Tikur</v>
      </c>
      <c r="G61" s="6" t="str">
        <f>'Farmer Demand'!G61</f>
        <v>Chetna Ajeevika</v>
      </c>
      <c r="H61" s="6" t="str">
        <f>'Farmer Demand'!H61</f>
        <v>Kharif</v>
      </c>
      <c r="I61" s="6" t="s">
        <v>29</v>
      </c>
      <c r="J61" s="10" t="s">
        <v>173</v>
      </c>
      <c r="K61" s="6" t="s">
        <v>29</v>
      </c>
      <c r="L61" s="6" t="str">
        <f>'Farmer Demand'!M61</f>
        <v>120 days</v>
      </c>
      <c r="M61" s="6">
        <v>1</v>
      </c>
      <c r="N61" s="6" t="s">
        <v>191</v>
      </c>
      <c r="O61" s="6"/>
      <c r="P61" s="6"/>
      <c r="Q61" s="6"/>
      <c r="R61" s="6" t="s">
        <v>31</v>
      </c>
      <c r="S61" s="6"/>
      <c r="T61" s="6" t="s">
        <v>254</v>
      </c>
      <c r="U61" s="6" t="s">
        <v>31</v>
      </c>
      <c r="V61" s="6" t="s">
        <v>229</v>
      </c>
      <c r="W61" s="6" t="s">
        <v>229</v>
      </c>
      <c r="X61" s="6" t="s">
        <v>31</v>
      </c>
      <c r="Y61" s="6" t="s">
        <v>229</v>
      </c>
      <c r="Z61" s="6" t="s">
        <v>229</v>
      </c>
      <c r="AA61" s="6" t="s">
        <v>31</v>
      </c>
      <c r="AB61" s="6" t="s">
        <v>229</v>
      </c>
      <c r="AC61" s="6" t="s">
        <v>229</v>
      </c>
      <c r="AD61" s="6" t="s">
        <v>31</v>
      </c>
      <c r="AE61" s="6" t="s">
        <v>229</v>
      </c>
      <c r="AF61" s="6" t="s">
        <v>229</v>
      </c>
      <c r="AG61" s="6" t="s">
        <v>31</v>
      </c>
      <c r="AH61" s="6" t="s">
        <v>229</v>
      </c>
      <c r="AI61" s="6" t="s">
        <v>229</v>
      </c>
      <c r="AJ61" s="6"/>
      <c r="AK61" s="6"/>
      <c r="AL61" s="6"/>
      <c r="AM61" s="6"/>
      <c r="AN61" s="6"/>
      <c r="AO61" s="6"/>
      <c r="AP61" s="6"/>
      <c r="AQ61" s="6"/>
      <c r="AR61" s="6"/>
      <c r="AS61" s="6" t="s">
        <v>29</v>
      </c>
      <c r="AT61" s="6">
        <v>1</v>
      </c>
      <c r="AU61" s="6" t="s">
        <v>191</v>
      </c>
      <c r="AV61" s="6" t="s">
        <v>31</v>
      </c>
      <c r="AW61" s="6" t="s">
        <v>229</v>
      </c>
      <c r="AX61" s="6" t="s">
        <v>229</v>
      </c>
      <c r="AY61" s="6" t="s">
        <v>31</v>
      </c>
      <c r="AZ61" s="6" t="s">
        <v>229</v>
      </c>
      <c r="BA61" s="6" t="s">
        <v>229</v>
      </c>
      <c r="BB61" s="6" t="s">
        <v>29</v>
      </c>
      <c r="BC61" s="6">
        <v>1</v>
      </c>
      <c r="BD61" s="6" t="s">
        <v>191</v>
      </c>
      <c r="BE61" s="6">
        <v>900</v>
      </c>
      <c r="BF61" s="6">
        <f>BE61+'Farmer Demand'!K61</f>
        <v>1100</v>
      </c>
    </row>
    <row r="62" spans="1:58" s="15" customFormat="1" ht="12.75" x14ac:dyDescent="0.2">
      <c r="A62" s="6">
        <f>'Farmer Demand'!A62</f>
        <v>60</v>
      </c>
      <c r="B62" s="6" t="str">
        <f>'Farmer Demand'!B62</f>
        <v>Nainwati Marawi</v>
      </c>
      <c r="C62" s="6" t="str">
        <f>'Farmer Demand'!C62</f>
        <v>Chandrwati bai</v>
      </c>
      <c r="D62" s="6">
        <f>'Farmer Demand'!D62</f>
        <v>0</v>
      </c>
      <c r="E62" s="6" t="str">
        <f>'Farmer Demand'!E62</f>
        <v>No</v>
      </c>
      <c r="F62" s="6" t="str">
        <f>'Farmer Demand'!F62</f>
        <v>Harra Tikur</v>
      </c>
      <c r="G62" s="6" t="str">
        <f>'Farmer Demand'!G62</f>
        <v>Chetna Ajeevika</v>
      </c>
      <c r="H62" s="6" t="str">
        <f>'Farmer Demand'!H62</f>
        <v>Kharif</v>
      </c>
      <c r="I62" s="6" t="s">
        <v>29</v>
      </c>
      <c r="J62" s="10" t="s">
        <v>173</v>
      </c>
      <c r="K62" s="6" t="s">
        <v>29</v>
      </c>
      <c r="L62" s="6" t="str">
        <f>'Farmer Demand'!M62</f>
        <v>120 days</v>
      </c>
      <c r="M62" s="6">
        <v>2</v>
      </c>
      <c r="N62" s="6" t="s">
        <v>191</v>
      </c>
      <c r="O62" s="6"/>
      <c r="P62" s="6"/>
      <c r="Q62" s="6"/>
      <c r="R62" s="6" t="s">
        <v>31</v>
      </c>
      <c r="S62" s="6"/>
      <c r="T62" s="6" t="s">
        <v>254</v>
      </c>
      <c r="U62" s="6" t="s">
        <v>31</v>
      </c>
      <c r="V62" s="6" t="s">
        <v>229</v>
      </c>
      <c r="W62" s="6" t="s">
        <v>229</v>
      </c>
      <c r="X62" s="6" t="s">
        <v>31</v>
      </c>
      <c r="Y62" s="6" t="s">
        <v>229</v>
      </c>
      <c r="Z62" s="6" t="s">
        <v>229</v>
      </c>
      <c r="AA62" s="6" t="s">
        <v>31</v>
      </c>
      <c r="AB62" s="6" t="s">
        <v>229</v>
      </c>
      <c r="AC62" s="6" t="s">
        <v>229</v>
      </c>
      <c r="AD62" s="6" t="s">
        <v>31</v>
      </c>
      <c r="AE62" s="6" t="s">
        <v>229</v>
      </c>
      <c r="AF62" s="6" t="s">
        <v>229</v>
      </c>
      <c r="AG62" s="6" t="s">
        <v>31</v>
      </c>
      <c r="AH62" s="6" t="s">
        <v>229</v>
      </c>
      <c r="AI62" s="6" t="s">
        <v>229</v>
      </c>
      <c r="AJ62" s="6"/>
      <c r="AK62" s="6"/>
      <c r="AL62" s="6"/>
      <c r="AM62" s="6"/>
      <c r="AN62" s="6"/>
      <c r="AO62" s="6"/>
      <c r="AP62" s="6"/>
      <c r="AQ62" s="6"/>
      <c r="AR62" s="6"/>
      <c r="AS62" s="6" t="s">
        <v>29</v>
      </c>
      <c r="AT62" s="6">
        <v>1</v>
      </c>
      <c r="AU62" s="6" t="s">
        <v>191</v>
      </c>
      <c r="AV62" s="6" t="s">
        <v>31</v>
      </c>
      <c r="AW62" s="6" t="s">
        <v>229</v>
      </c>
      <c r="AX62" s="6" t="s">
        <v>229</v>
      </c>
      <c r="AY62" s="6" t="s">
        <v>31</v>
      </c>
      <c r="AZ62" s="6" t="s">
        <v>229</v>
      </c>
      <c r="BA62" s="6" t="s">
        <v>229</v>
      </c>
      <c r="BB62" s="6" t="s">
        <v>29</v>
      </c>
      <c r="BC62" s="6">
        <v>1</v>
      </c>
      <c r="BD62" s="6" t="s">
        <v>191</v>
      </c>
      <c r="BE62" s="6">
        <v>900</v>
      </c>
      <c r="BF62" s="6">
        <f>BE62+'Farmer Demand'!K62</f>
        <v>1100</v>
      </c>
    </row>
    <row r="63" spans="1:58" s="15" customFormat="1" ht="12.75" x14ac:dyDescent="0.2">
      <c r="A63" s="6">
        <f>'Farmer Demand'!A63</f>
        <v>61</v>
      </c>
      <c r="B63" s="6" t="str">
        <f>'Farmer Demand'!B63</f>
        <v>Nainwati Marawi</v>
      </c>
      <c r="C63" s="6" t="str">
        <f>'Farmer Demand'!C63</f>
        <v>Devki Tekam</v>
      </c>
      <c r="D63" s="6">
        <f>'Farmer Demand'!D63</f>
        <v>0</v>
      </c>
      <c r="E63" s="6" t="str">
        <f>'Farmer Demand'!E63</f>
        <v>No</v>
      </c>
      <c r="F63" s="6" t="str">
        <f>'Farmer Demand'!F63</f>
        <v>Harra Tikur</v>
      </c>
      <c r="G63" s="6" t="str">
        <f>'Farmer Demand'!G63</f>
        <v>Chetna Ajeevika</v>
      </c>
      <c r="H63" s="6" t="str">
        <f>'Farmer Demand'!H63</f>
        <v>Kharif</v>
      </c>
      <c r="I63" s="6" t="s">
        <v>29</v>
      </c>
      <c r="J63" s="10" t="s">
        <v>173</v>
      </c>
      <c r="K63" s="6" t="s">
        <v>29</v>
      </c>
      <c r="L63" s="6" t="str">
        <f>'Farmer Demand'!M63</f>
        <v>120 days</v>
      </c>
      <c r="M63" s="6">
        <v>1</v>
      </c>
      <c r="N63" s="6" t="s">
        <v>191</v>
      </c>
      <c r="O63" s="6"/>
      <c r="P63" s="6"/>
      <c r="Q63" s="6"/>
      <c r="R63" s="6" t="s">
        <v>31</v>
      </c>
      <c r="S63" s="6"/>
      <c r="T63" s="6" t="s">
        <v>254</v>
      </c>
      <c r="U63" s="6" t="s">
        <v>31</v>
      </c>
      <c r="V63" s="6" t="s">
        <v>229</v>
      </c>
      <c r="W63" s="6" t="s">
        <v>229</v>
      </c>
      <c r="X63" s="6" t="s">
        <v>31</v>
      </c>
      <c r="Y63" s="6" t="s">
        <v>229</v>
      </c>
      <c r="Z63" s="6" t="s">
        <v>229</v>
      </c>
      <c r="AA63" s="6" t="s">
        <v>31</v>
      </c>
      <c r="AB63" s="6" t="s">
        <v>229</v>
      </c>
      <c r="AC63" s="6" t="s">
        <v>229</v>
      </c>
      <c r="AD63" s="6" t="s">
        <v>31</v>
      </c>
      <c r="AE63" s="6" t="s">
        <v>229</v>
      </c>
      <c r="AF63" s="6" t="s">
        <v>229</v>
      </c>
      <c r="AG63" s="6" t="s">
        <v>31</v>
      </c>
      <c r="AH63" s="6" t="s">
        <v>229</v>
      </c>
      <c r="AI63" s="6" t="s">
        <v>229</v>
      </c>
      <c r="AJ63" s="6"/>
      <c r="AK63" s="6"/>
      <c r="AL63" s="6"/>
      <c r="AM63" s="6"/>
      <c r="AN63" s="6"/>
      <c r="AO63" s="6"/>
      <c r="AP63" s="6"/>
      <c r="AQ63" s="6"/>
      <c r="AR63" s="6"/>
      <c r="AS63" s="6" t="s">
        <v>29</v>
      </c>
      <c r="AT63" s="6">
        <v>1</v>
      </c>
      <c r="AU63" s="6" t="s">
        <v>191</v>
      </c>
      <c r="AV63" s="6" t="s">
        <v>31</v>
      </c>
      <c r="AW63" s="6" t="s">
        <v>229</v>
      </c>
      <c r="AX63" s="6" t="s">
        <v>229</v>
      </c>
      <c r="AY63" s="6" t="s">
        <v>31</v>
      </c>
      <c r="AZ63" s="6" t="s">
        <v>229</v>
      </c>
      <c r="BA63" s="6" t="s">
        <v>229</v>
      </c>
      <c r="BB63" s="6" t="s">
        <v>29</v>
      </c>
      <c r="BC63" s="6">
        <v>1</v>
      </c>
      <c r="BD63" s="6" t="s">
        <v>191</v>
      </c>
      <c r="BE63" s="6">
        <v>900</v>
      </c>
      <c r="BF63" s="6">
        <f>BE63+'Farmer Demand'!K63</f>
        <v>1100</v>
      </c>
    </row>
    <row r="64" spans="1:58" s="15" customFormat="1" ht="12.75" x14ac:dyDescent="0.2">
      <c r="A64" s="6">
        <f>'Farmer Demand'!A64</f>
        <v>62</v>
      </c>
      <c r="B64" s="6" t="str">
        <f>'Farmer Demand'!B64</f>
        <v>Nainwati Marawi</v>
      </c>
      <c r="C64" s="6" t="str">
        <f>'Farmer Demand'!C64</f>
        <v>Durga bai</v>
      </c>
      <c r="D64" s="6">
        <f>'Farmer Demand'!D64</f>
        <v>0</v>
      </c>
      <c r="E64" s="6" t="str">
        <f>'Farmer Demand'!E64</f>
        <v>No</v>
      </c>
      <c r="F64" s="6" t="str">
        <f>'Farmer Demand'!F64</f>
        <v>Harra Tikur</v>
      </c>
      <c r="G64" s="6" t="str">
        <f>'Farmer Demand'!G64</f>
        <v>Chetna Ajeevika</v>
      </c>
      <c r="H64" s="6" t="str">
        <f>'Farmer Demand'!H64</f>
        <v>Kharif</v>
      </c>
      <c r="I64" s="6" t="s">
        <v>29</v>
      </c>
      <c r="J64" s="10" t="s">
        <v>173</v>
      </c>
      <c r="K64" s="6" t="s">
        <v>29</v>
      </c>
      <c r="L64" s="6" t="str">
        <f>'Farmer Demand'!M64</f>
        <v>120 days</v>
      </c>
      <c r="M64" s="6">
        <v>1</v>
      </c>
      <c r="N64" s="6" t="s">
        <v>191</v>
      </c>
      <c r="O64" s="6"/>
      <c r="P64" s="6"/>
      <c r="Q64" s="6"/>
      <c r="R64" s="6" t="s">
        <v>31</v>
      </c>
      <c r="S64" s="6"/>
      <c r="T64" s="6" t="s">
        <v>254</v>
      </c>
      <c r="U64" s="6" t="s">
        <v>31</v>
      </c>
      <c r="V64" s="6" t="s">
        <v>229</v>
      </c>
      <c r="W64" s="6" t="s">
        <v>229</v>
      </c>
      <c r="X64" s="6" t="s">
        <v>31</v>
      </c>
      <c r="Y64" s="6" t="s">
        <v>229</v>
      </c>
      <c r="Z64" s="6" t="s">
        <v>229</v>
      </c>
      <c r="AA64" s="6" t="s">
        <v>31</v>
      </c>
      <c r="AB64" s="6" t="s">
        <v>229</v>
      </c>
      <c r="AC64" s="6" t="s">
        <v>229</v>
      </c>
      <c r="AD64" s="6" t="s">
        <v>31</v>
      </c>
      <c r="AE64" s="6" t="s">
        <v>229</v>
      </c>
      <c r="AF64" s="6" t="s">
        <v>229</v>
      </c>
      <c r="AG64" s="6" t="s">
        <v>31</v>
      </c>
      <c r="AH64" s="6" t="s">
        <v>229</v>
      </c>
      <c r="AI64" s="6" t="s">
        <v>229</v>
      </c>
      <c r="AJ64" s="6"/>
      <c r="AK64" s="6"/>
      <c r="AL64" s="6"/>
      <c r="AM64" s="6"/>
      <c r="AN64" s="6"/>
      <c r="AO64" s="6"/>
      <c r="AP64" s="6"/>
      <c r="AQ64" s="6"/>
      <c r="AR64" s="6"/>
      <c r="AS64" s="6" t="s">
        <v>29</v>
      </c>
      <c r="AT64" s="6">
        <v>1</v>
      </c>
      <c r="AU64" s="6" t="s">
        <v>191</v>
      </c>
      <c r="AV64" s="6" t="s">
        <v>31</v>
      </c>
      <c r="AW64" s="6" t="s">
        <v>229</v>
      </c>
      <c r="AX64" s="6" t="s">
        <v>229</v>
      </c>
      <c r="AY64" s="6" t="s">
        <v>31</v>
      </c>
      <c r="AZ64" s="6" t="s">
        <v>229</v>
      </c>
      <c r="BA64" s="6" t="s">
        <v>229</v>
      </c>
      <c r="BB64" s="6" t="s">
        <v>29</v>
      </c>
      <c r="BC64" s="6">
        <v>1</v>
      </c>
      <c r="BD64" s="6" t="s">
        <v>191</v>
      </c>
      <c r="BE64" s="6">
        <v>900</v>
      </c>
      <c r="BF64" s="6">
        <f>BE64+'Farmer Demand'!K64</f>
        <v>1100</v>
      </c>
    </row>
    <row r="65" spans="1:58" s="15" customFormat="1" ht="12.75" x14ac:dyDescent="0.2">
      <c r="A65" s="6">
        <f>'Farmer Demand'!A65</f>
        <v>63</v>
      </c>
      <c r="B65" s="6" t="str">
        <f>'Farmer Demand'!B65</f>
        <v>Nainwati Marawi</v>
      </c>
      <c r="C65" s="6" t="str">
        <f>'Farmer Demand'!C65</f>
        <v>Gilaso bai</v>
      </c>
      <c r="D65" s="6">
        <f>'Farmer Demand'!D65</f>
        <v>0</v>
      </c>
      <c r="E65" s="6" t="str">
        <f>'Farmer Demand'!E65</f>
        <v>No</v>
      </c>
      <c r="F65" s="6" t="str">
        <f>'Farmer Demand'!F65</f>
        <v>Harra Tikur</v>
      </c>
      <c r="G65" s="6" t="str">
        <f>'Farmer Demand'!G65</f>
        <v>Chetna Ajeevika</v>
      </c>
      <c r="H65" s="6" t="str">
        <f>'Farmer Demand'!H65</f>
        <v>Kharif</v>
      </c>
      <c r="I65" s="6" t="s">
        <v>29</v>
      </c>
      <c r="J65" s="10" t="s">
        <v>173</v>
      </c>
      <c r="K65" s="6" t="s">
        <v>29</v>
      </c>
      <c r="L65" s="6" t="str">
        <f>'Farmer Demand'!M65</f>
        <v>120 days</v>
      </c>
      <c r="M65" s="6">
        <v>1</v>
      </c>
      <c r="N65" s="6" t="s">
        <v>191</v>
      </c>
      <c r="O65" s="6"/>
      <c r="P65" s="6"/>
      <c r="Q65" s="6"/>
      <c r="R65" s="6" t="s">
        <v>31</v>
      </c>
      <c r="S65" s="6"/>
      <c r="T65" s="6" t="s">
        <v>254</v>
      </c>
      <c r="U65" s="6" t="s">
        <v>31</v>
      </c>
      <c r="V65" s="6" t="s">
        <v>229</v>
      </c>
      <c r="W65" s="6" t="s">
        <v>229</v>
      </c>
      <c r="X65" s="6" t="s">
        <v>31</v>
      </c>
      <c r="Y65" s="6" t="s">
        <v>229</v>
      </c>
      <c r="Z65" s="6" t="s">
        <v>229</v>
      </c>
      <c r="AA65" s="6" t="s">
        <v>31</v>
      </c>
      <c r="AB65" s="6" t="s">
        <v>229</v>
      </c>
      <c r="AC65" s="6" t="s">
        <v>229</v>
      </c>
      <c r="AD65" s="6" t="s">
        <v>31</v>
      </c>
      <c r="AE65" s="6" t="s">
        <v>229</v>
      </c>
      <c r="AF65" s="6" t="s">
        <v>229</v>
      </c>
      <c r="AG65" s="6" t="s">
        <v>31</v>
      </c>
      <c r="AH65" s="6" t="s">
        <v>229</v>
      </c>
      <c r="AI65" s="6" t="s">
        <v>229</v>
      </c>
      <c r="AJ65" s="6"/>
      <c r="AK65" s="6"/>
      <c r="AL65" s="6"/>
      <c r="AM65" s="6"/>
      <c r="AN65" s="6"/>
      <c r="AO65" s="6"/>
      <c r="AP65" s="6"/>
      <c r="AQ65" s="6"/>
      <c r="AR65" s="6"/>
      <c r="AS65" s="6" t="s">
        <v>29</v>
      </c>
      <c r="AT65" s="6">
        <v>1</v>
      </c>
      <c r="AU65" s="6" t="s">
        <v>191</v>
      </c>
      <c r="AV65" s="6" t="s">
        <v>31</v>
      </c>
      <c r="AW65" s="6" t="s">
        <v>229</v>
      </c>
      <c r="AX65" s="6" t="s">
        <v>229</v>
      </c>
      <c r="AY65" s="6" t="s">
        <v>31</v>
      </c>
      <c r="AZ65" s="6" t="s">
        <v>229</v>
      </c>
      <c r="BA65" s="6" t="s">
        <v>229</v>
      </c>
      <c r="BB65" s="6" t="s">
        <v>29</v>
      </c>
      <c r="BC65" s="6">
        <v>1</v>
      </c>
      <c r="BD65" s="6" t="s">
        <v>191</v>
      </c>
      <c r="BE65" s="6">
        <v>900</v>
      </c>
      <c r="BF65" s="6">
        <f>BE65+'Farmer Demand'!K65</f>
        <v>1100</v>
      </c>
    </row>
    <row r="66" spans="1:58" s="15" customFormat="1" ht="12.75" x14ac:dyDescent="0.2">
      <c r="A66" s="6">
        <f>'Farmer Demand'!A66</f>
        <v>64</v>
      </c>
      <c r="B66" s="6" t="str">
        <f>'Farmer Demand'!B66</f>
        <v>Nainwati Marawi</v>
      </c>
      <c r="C66" s="6" t="str">
        <f>'Farmer Demand'!C66</f>
        <v>Kapuri bai</v>
      </c>
      <c r="D66" s="6">
        <f>'Farmer Demand'!D66</f>
        <v>0</v>
      </c>
      <c r="E66" s="6" t="str">
        <f>'Farmer Demand'!E66</f>
        <v>No</v>
      </c>
      <c r="F66" s="6" t="str">
        <f>'Farmer Demand'!F66</f>
        <v>Harra Tikur</v>
      </c>
      <c r="G66" s="6" t="str">
        <f>'Farmer Demand'!G66</f>
        <v>Chetna Ajeevika</v>
      </c>
      <c r="H66" s="6" t="str">
        <f>'Farmer Demand'!H66</f>
        <v>Kharif</v>
      </c>
      <c r="I66" s="6" t="s">
        <v>29</v>
      </c>
      <c r="J66" s="10" t="s">
        <v>173</v>
      </c>
      <c r="K66" s="6" t="s">
        <v>29</v>
      </c>
      <c r="L66" s="6" t="str">
        <f>'Farmer Demand'!M66</f>
        <v>120 days</v>
      </c>
      <c r="M66" s="6">
        <v>1</v>
      </c>
      <c r="N66" s="6" t="s">
        <v>191</v>
      </c>
      <c r="O66" s="6"/>
      <c r="P66" s="6"/>
      <c r="Q66" s="6"/>
      <c r="R66" s="6" t="s">
        <v>31</v>
      </c>
      <c r="S66" s="6"/>
      <c r="T66" s="6" t="s">
        <v>254</v>
      </c>
      <c r="U66" s="6" t="s">
        <v>31</v>
      </c>
      <c r="V66" s="6" t="s">
        <v>229</v>
      </c>
      <c r="W66" s="6" t="s">
        <v>229</v>
      </c>
      <c r="X66" s="6" t="s">
        <v>31</v>
      </c>
      <c r="Y66" s="6" t="s">
        <v>229</v>
      </c>
      <c r="Z66" s="6" t="s">
        <v>229</v>
      </c>
      <c r="AA66" s="6" t="s">
        <v>31</v>
      </c>
      <c r="AB66" s="6" t="s">
        <v>229</v>
      </c>
      <c r="AC66" s="6" t="s">
        <v>229</v>
      </c>
      <c r="AD66" s="6" t="s">
        <v>31</v>
      </c>
      <c r="AE66" s="6" t="s">
        <v>229</v>
      </c>
      <c r="AF66" s="6" t="s">
        <v>229</v>
      </c>
      <c r="AG66" s="6" t="s">
        <v>31</v>
      </c>
      <c r="AH66" s="6" t="s">
        <v>229</v>
      </c>
      <c r="AI66" s="6" t="s">
        <v>229</v>
      </c>
      <c r="AJ66" s="6"/>
      <c r="AK66" s="6"/>
      <c r="AL66" s="6"/>
      <c r="AM66" s="6"/>
      <c r="AN66" s="6"/>
      <c r="AO66" s="6"/>
      <c r="AP66" s="6"/>
      <c r="AQ66" s="6"/>
      <c r="AR66" s="6"/>
      <c r="AS66" s="6" t="s">
        <v>29</v>
      </c>
      <c r="AT66" s="6">
        <v>1</v>
      </c>
      <c r="AU66" s="6" t="s">
        <v>191</v>
      </c>
      <c r="AV66" s="6" t="s">
        <v>31</v>
      </c>
      <c r="AW66" s="6" t="s">
        <v>229</v>
      </c>
      <c r="AX66" s="6" t="s">
        <v>229</v>
      </c>
      <c r="AY66" s="6" t="s">
        <v>31</v>
      </c>
      <c r="AZ66" s="6" t="s">
        <v>229</v>
      </c>
      <c r="BA66" s="6" t="s">
        <v>229</v>
      </c>
      <c r="BB66" s="6" t="s">
        <v>29</v>
      </c>
      <c r="BC66" s="6">
        <v>1</v>
      </c>
      <c r="BD66" s="6" t="s">
        <v>191</v>
      </c>
      <c r="BE66" s="6">
        <v>900</v>
      </c>
      <c r="BF66" s="6">
        <f>BE66+'Farmer Demand'!K66</f>
        <v>1100</v>
      </c>
    </row>
    <row r="67" spans="1:58" s="15" customFormat="1" ht="12.75" x14ac:dyDescent="0.2">
      <c r="A67" s="6">
        <f>'Farmer Demand'!A67</f>
        <v>65</v>
      </c>
      <c r="B67" s="6" t="str">
        <f>'Farmer Demand'!B67</f>
        <v>Nainwati Marawi</v>
      </c>
      <c r="C67" s="6" t="str">
        <f>'Farmer Demand'!C67</f>
        <v>Laxmi bai</v>
      </c>
      <c r="D67" s="6">
        <f>'Farmer Demand'!D67</f>
        <v>0</v>
      </c>
      <c r="E67" s="6" t="str">
        <f>'Farmer Demand'!E67</f>
        <v>No</v>
      </c>
      <c r="F67" s="6" t="str">
        <f>'Farmer Demand'!F67</f>
        <v>Harra Tikur</v>
      </c>
      <c r="G67" s="6" t="str">
        <f>'Farmer Demand'!G67</f>
        <v>Chetna Ajeevika</v>
      </c>
      <c r="H67" s="6" t="str">
        <f>'Farmer Demand'!H67</f>
        <v>Kharif</v>
      </c>
      <c r="I67" s="6" t="s">
        <v>29</v>
      </c>
      <c r="J67" s="10" t="s">
        <v>173</v>
      </c>
      <c r="K67" s="6" t="s">
        <v>29</v>
      </c>
      <c r="L67" s="6" t="str">
        <f>'Farmer Demand'!M67</f>
        <v>120 days</v>
      </c>
      <c r="M67" s="6">
        <v>1</v>
      </c>
      <c r="N67" s="6" t="s">
        <v>191</v>
      </c>
      <c r="O67" s="6"/>
      <c r="P67" s="6"/>
      <c r="Q67" s="6"/>
      <c r="R67" s="6" t="s">
        <v>31</v>
      </c>
      <c r="S67" s="6"/>
      <c r="T67" s="6" t="s">
        <v>254</v>
      </c>
      <c r="U67" s="6" t="s">
        <v>31</v>
      </c>
      <c r="V67" s="6" t="s">
        <v>229</v>
      </c>
      <c r="W67" s="6" t="s">
        <v>229</v>
      </c>
      <c r="X67" s="6" t="s">
        <v>31</v>
      </c>
      <c r="Y67" s="6" t="s">
        <v>229</v>
      </c>
      <c r="Z67" s="6" t="s">
        <v>229</v>
      </c>
      <c r="AA67" s="6" t="s">
        <v>31</v>
      </c>
      <c r="AB67" s="6" t="s">
        <v>229</v>
      </c>
      <c r="AC67" s="6" t="s">
        <v>229</v>
      </c>
      <c r="AD67" s="6" t="s">
        <v>31</v>
      </c>
      <c r="AE67" s="6" t="s">
        <v>229</v>
      </c>
      <c r="AF67" s="6" t="s">
        <v>229</v>
      </c>
      <c r="AG67" s="6" t="s">
        <v>31</v>
      </c>
      <c r="AH67" s="6" t="s">
        <v>229</v>
      </c>
      <c r="AI67" s="6" t="s">
        <v>229</v>
      </c>
      <c r="AJ67" s="6"/>
      <c r="AK67" s="6"/>
      <c r="AL67" s="6"/>
      <c r="AM67" s="6"/>
      <c r="AN67" s="6"/>
      <c r="AO67" s="6"/>
      <c r="AP67" s="6"/>
      <c r="AQ67" s="6"/>
      <c r="AR67" s="6"/>
      <c r="AS67" s="6" t="s">
        <v>29</v>
      </c>
      <c r="AT67" s="6">
        <v>1</v>
      </c>
      <c r="AU67" s="6" t="s">
        <v>191</v>
      </c>
      <c r="AV67" s="6" t="s">
        <v>31</v>
      </c>
      <c r="AW67" s="6" t="s">
        <v>229</v>
      </c>
      <c r="AX67" s="6" t="s">
        <v>229</v>
      </c>
      <c r="AY67" s="6" t="s">
        <v>31</v>
      </c>
      <c r="AZ67" s="6" t="s">
        <v>229</v>
      </c>
      <c r="BA67" s="6" t="s">
        <v>229</v>
      </c>
      <c r="BB67" s="6" t="s">
        <v>29</v>
      </c>
      <c r="BC67" s="6">
        <v>1</v>
      </c>
      <c r="BD67" s="6" t="s">
        <v>191</v>
      </c>
      <c r="BE67" s="6">
        <v>900</v>
      </c>
      <c r="BF67" s="6">
        <f>BE67+'Farmer Demand'!K67</f>
        <v>1100</v>
      </c>
    </row>
    <row r="68" spans="1:58" s="15" customFormat="1" ht="12.75" x14ac:dyDescent="0.2">
      <c r="A68" s="6">
        <f>'Farmer Demand'!A68</f>
        <v>66</v>
      </c>
      <c r="B68" s="6" t="str">
        <f>'Farmer Demand'!B68</f>
        <v>Nainwati Marawi</v>
      </c>
      <c r="C68" s="6" t="str">
        <f>'Farmer Demand'!C68</f>
        <v>Leela bai</v>
      </c>
      <c r="D68" s="6">
        <f>'Farmer Demand'!D68</f>
        <v>0</v>
      </c>
      <c r="E68" s="6" t="str">
        <f>'Farmer Demand'!E68</f>
        <v>No</v>
      </c>
      <c r="F68" s="6" t="str">
        <f>'Farmer Demand'!F68</f>
        <v>Harra Tikur</v>
      </c>
      <c r="G68" s="6" t="str">
        <f>'Farmer Demand'!G68</f>
        <v>Chetna Ajeevika</v>
      </c>
      <c r="H68" s="6" t="str">
        <f>'Farmer Demand'!H68</f>
        <v>Kharif</v>
      </c>
      <c r="I68" s="6" t="s">
        <v>29</v>
      </c>
      <c r="J68" s="10" t="s">
        <v>173</v>
      </c>
      <c r="K68" s="6" t="s">
        <v>29</v>
      </c>
      <c r="L68" s="6" t="str">
        <f>'Farmer Demand'!M68</f>
        <v>120 days</v>
      </c>
      <c r="M68" s="6">
        <v>1</v>
      </c>
      <c r="N68" s="6" t="s">
        <v>191</v>
      </c>
      <c r="O68" s="6"/>
      <c r="P68" s="6"/>
      <c r="Q68" s="6"/>
      <c r="R68" s="6" t="s">
        <v>31</v>
      </c>
      <c r="S68" s="6"/>
      <c r="T68" s="6" t="s">
        <v>254</v>
      </c>
      <c r="U68" s="6" t="s">
        <v>31</v>
      </c>
      <c r="V68" s="6" t="s">
        <v>229</v>
      </c>
      <c r="W68" s="6" t="s">
        <v>229</v>
      </c>
      <c r="X68" s="6" t="s">
        <v>31</v>
      </c>
      <c r="Y68" s="6" t="s">
        <v>229</v>
      </c>
      <c r="Z68" s="6" t="s">
        <v>229</v>
      </c>
      <c r="AA68" s="6" t="s">
        <v>31</v>
      </c>
      <c r="AB68" s="6" t="s">
        <v>229</v>
      </c>
      <c r="AC68" s="6" t="s">
        <v>229</v>
      </c>
      <c r="AD68" s="6" t="s">
        <v>31</v>
      </c>
      <c r="AE68" s="6" t="s">
        <v>229</v>
      </c>
      <c r="AF68" s="6" t="s">
        <v>229</v>
      </c>
      <c r="AG68" s="6" t="s">
        <v>31</v>
      </c>
      <c r="AH68" s="6" t="s">
        <v>229</v>
      </c>
      <c r="AI68" s="6" t="s">
        <v>229</v>
      </c>
      <c r="AJ68" s="6"/>
      <c r="AK68" s="6"/>
      <c r="AL68" s="6"/>
      <c r="AM68" s="6"/>
      <c r="AN68" s="6"/>
      <c r="AO68" s="6"/>
      <c r="AP68" s="6"/>
      <c r="AQ68" s="6"/>
      <c r="AR68" s="6"/>
      <c r="AS68" s="6" t="s">
        <v>29</v>
      </c>
      <c r="AT68" s="6">
        <v>1</v>
      </c>
      <c r="AU68" s="6" t="s">
        <v>191</v>
      </c>
      <c r="AV68" s="6" t="s">
        <v>29</v>
      </c>
      <c r="AW68" s="6">
        <v>1</v>
      </c>
      <c r="AX68" s="6" t="s">
        <v>191</v>
      </c>
      <c r="AY68" s="6" t="s">
        <v>31</v>
      </c>
      <c r="AZ68" s="6" t="s">
        <v>229</v>
      </c>
      <c r="BA68" s="6" t="s">
        <v>229</v>
      </c>
      <c r="BB68" s="6" t="s">
        <v>29</v>
      </c>
      <c r="BC68" s="6">
        <v>1</v>
      </c>
      <c r="BD68" s="6" t="s">
        <v>191</v>
      </c>
      <c r="BE68" s="6">
        <v>900</v>
      </c>
      <c r="BF68" s="6">
        <f>BE68+'Farmer Demand'!K68</f>
        <v>1100</v>
      </c>
    </row>
    <row r="69" spans="1:58" s="15" customFormat="1" ht="12.75" x14ac:dyDescent="0.2">
      <c r="A69" s="6">
        <f>'Farmer Demand'!A69</f>
        <v>67</v>
      </c>
      <c r="B69" s="6" t="str">
        <f>'Farmer Demand'!B69</f>
        <v>Nainwati Marawi</v>
      </c>
      <c r="C69" s="6" t="str">
        <f>'Farmer Demand'!C69</f>
        <v>Munni bai</v>
      </c>
      <c r="D69" s="6">
        <f>'Farmer Demand'!D69</f>
        <v>0</v>
      </c>
      <c r="E69" s="6" t="str">
        <f>'Farmer Demand'!E69</f>
        <v>No</v>
      </c>
      <c r="F69" s="6" t="str">
        <f>'Farmer Demand'!F69</f>
        <v>Harra Tikur</v>
      </c>
      <c r="G69" s="6" t="str">
        <f>'Farmer Demand'!G69</f>
        <v>Chetna Ajeevika</v>
      </c>
      <c r="H69" s="6" t="str">
        <f>'Farmer Demand'!H69</f>
        <v>Kharif</v>
      </c>
      <c r="I69" s="6" t="s">
        <v>29</v>
      </c>
      <c r="J69" s="10" t="s">
        <v>173</v>
      </c>
      <c r="K69" s="6" t="s">
        <v>29</v>
      </c>
      <c r="L69" s="6" t="str">
        <f>'Farmer Demand'!M69</f>
        <v>120 days</v>
      </c>
      <c r="M69" s="6">
        <v>1</v>
      </c>
      <c r="N69" s="6" t="s">
        <v>191</v>
      </c>
      <c r="O69" s="6"/>
      <c r="P69" s="6"/>
      <c r="Q69" s="6"/>
      <c r="R69" s="6" t="s">
        <v>31</v>
      </c>
      <c r="S69" s="6"/>
      <c r="T69" s="6" t="s">
        <v>254</v>
      </c>
      <c r="U69" s="6" t="s">
        <v>31</v>
      </c>
      <c r="V69" s="6" t="s">
        <v>229</v>
      </c>
      <c r="W69" s="6" t="s">
        <v>229</v>
      </c>
      <c r="X69" s="6" t="s">
        <v>31</v>
      </c>
      <c r="Y69" s="6" t="s">
        <v>229</v>
      </c>
      <c r="Z69" s="6" t="s">
        <v>229</v>
      </c>
      <c r="AA69" s="6" t="s">
        <v>31</v>
      </c>
      <c r="AB69" s="6" t="s">
        <v>229</v>
      </c>
      <c r="AC69" s="6" t="s">
        <v>229</v>
      </c>
      <c r="AD69" s="6" t="s">
        <v>31</v>
      </c>
      <c r="AE69" s="6" t="s">
        <v>229</v>
      </c>
      <c r="AF69" s="6" t="s">
        <v>229</v>
      </c>
      <c r="AG69" s="6" t="s">
        <v>31</v>
      </c>
      <c r="AH69" s="6" t="s">
        <v>229</v>
      </c>
      <c r="AI69" s="6" t="s">
        <v>229</v>
      </c>
      <c r="AJ69" s="6"/>
      <c r="AK69" s="6"/>
      <c r="AL69" s="6"/>
      <c r="AM69" s="6"/>
      <c r="AN69" s="6"/>
      <c r="AO69" s="6"/>
      <c r="AP69" s="6"/>
      <c r="AQ69" s="6"/>
      <c r="AR69" s="6"/>
      <c r="AS69" s="6" t="s">
        <v>29</v>
      </c>
      <c r="AT69" s="6">
        <v>1</v>
      </c>
      <c r="AU69" s="6" t="s">
        <v>191</v>
      </c>
      <c r="AV69" s="6" t="s">
        <v>29</v>
      </c>
      <c r="AW69" s="6">
        <v>1</v>
      </c>
      <c r="AX69" s="6" t="s">
        <v>191</v>
      </c>
      <c r="AY69" s="6" t="s">
        <v>31</v>
      </c>
      <c r="AZ69" s="6" t="s">
        <v>229</v>
      </c>
      <c r="BA69" s="6" t="s">
        <v>229</v>
      </c>
      <c r="BB69" s="6" t="s">
        <v>29</v>
      </c>
      <c r="BC69" s="6">
        <v>1</v>
      </c>
      <c r="BD69" s="6" t="s">
        <v>191</v>
      </c>
      <c r="BE69" s="6">
        <v>900</v>
      </c>
      <c r="BF69" s="6">
        <f>BE69+'Farmer Demand'!K69</f>
        <v>1100</v>
      </c>
    </row>
    <row r="70" spans="1:58" s="15" customFormat="1" ht="12.75" x14ac:dyDescent="0.2">
      <c r="A70" s="6">
        <f>'Farmer Demand'!A70</f>
        <v>68</v>
      </c>
      <c r="B70" s="6" t="str">
        <f>'Farmer Demand'!B70</f>
        <v>Nainwati Marawi</v>
      </c>
      <c r="C70" s="6" t="str">
        <f>'Farmer Demand'!C70</f>
        <v>Naniwati bai</v>
      </c>
      <c r="D70" s="6">
        <f>'Farmer Demand'!D70</f>
        <v>0</v>
      </c>
      <c r="E70" s="6" t="str">
        <f>'Farmer Demand'!E70</f>
        <v>No</v>
      </c>
      <c r="F70" s="6" t="str">
        <f>'Farmer Demand'!F70</f>
        <v>Harra Tikur</v>
      </c>
      <c r="G70" s="6" t="str">
        <f>'Farmer Demand'!G70</f>
        <v>Chetna Ajeevika</v>
      </c>
      <c r="H70" s="6" t="str">
        <f>'Farmer Demand'!H70</f>
        <v>Kharif</v>
      </c>
      <c r="I70" s="6" t="s">
        <v>29</v>
      </c>
      <c r="J70" s="10" t="s">
        <v>173</v>
      </c>
      <c r="K70" s="6" t="s">
        <v>29</v>
      </c>
      <c r="L70" s="6" t="str">
        <f>'Farmer Demand'!M70</f>
        <v>120 days</v>
      </c>
      <c r="M70" s="6">
        <v>1</v>
      </c>
      <c r="N70" s="6" t="s">
        <v>191</v>
      </c>
      <c r="O70" s="6"/>
      <c r="P70" s="6"/>
      <c r="Q70" s="6"/>
      <c r="R70" s="6" t="s">
        <v>31</v>
      </c>
      <c r="S70" s="6"/>
      <c r="T70" s="6" t="s">
        <v>254</v>
      </c>
      <c r="U70" s="6" t="s">
        <v>31</v>
      </c>
      <c r="V70" s="6" t="s">
        <v>229</v>
      </c>
      <c r="W70" s="6" t="s">
        <v>229</v>
      </c>
      <c r="X70" s="6" t="s">
        <v>31</v>
      </c>
      <c r="Y70" s="6" t="s">
        <v>229</v>
      </c>
      <c r="Z70" s="6" t="s">
        <v>229</v>
      </c>
      <c r="AA70" s="6" t="s">
        <v>31</v>
      </c>
      <c r="AB70" s="6" t="s">
        <v>229</v>
      </c>
      <c r="AC70" s="6" t="s">
        <v>229</v>
      </c>
      <c r="AD70" s="6" t="s">
        <v>31</v>
      </c>
      <c r="AE70" s="6" t="s">
        <v>229</v>
      </c>
      <c r="AF70" s="6" t="s">
        <v>229</v>
      </c>
      <c r="AG70" s="6" t="s">
        <v>31</v>
      </c>
      <c r="AH70" s="6" t="s">
        <v>229</v>
      </c>
      <c r="AI70" s="6" t="s">
        <v>229</v>
      </c>
      <c r="AJ70" s="6"/>
      <c r="AK70" s="6"/>
      <c r="AL70" s="6"/>
      <c r="AM70" s="6"/>
      <c r="AN70" s="6"/>
      <c r="AO70" s="6"/>
      <c r="AP70" s="6"/>
      <c r="AQ70" s="6"/>
      <c r="AR70" s="6"/>
      <c r="AS70" s="6" t="s">
        <v>29</v>
      </c>
      <c r="AT70" s="6">
        <v>1</v>
      </c>
      <c r="AU70" s="6" t="s">
        <v>191</v>
      </c>
      <c r="AV70" s="6" t="s">
        <v>29</v>
      </c>
      <c r="AW70" s="6">
        <v>1</v>
      </c>
      <c r="AX70" s="6" t="s">
        <v>191</v>
      </c>
      <c r="AY70" s="6" t="s">
        <v>31</v>
      </c>
      <c r="AZ70" s="6" t="s">
        <v>229</v>
      </c>
      <c r="BA70" s="6" t="s">
        <v>229</v>
      </c>
      <c r="BB70" s="6" t="s">
        <v>29</v>
      </c>
      <c r="BC70" s="6">
        <v>1</v>
      </c>
      <c r="BD70" s="6" t="s">
        <v>191</v>
      </c>
      <c r="BE70" s="6">
        <v>900</v>
      </c>
      <c r="BF70" s="6">
        <f>BE70+'Farmer Demand'!K70</f>
        <v>1100</v>
      </c>
    </row>
    <row r="71" spans="1:58" s="15" customFormat="1" ht="12.75" x14ac:dyDescent="0.2">
      <c r="A71" s="6">
        <f>'Farmer Demand'!A71</f>
        <v>69</v>
      </c>
      <c r="B71" s="6" t="str">
        <f>'Farmer Demand'!B71</f>
        <v>Nainwati Marawi</v>
      </c>
      <c r="C71" s="6" t="str">
        <f>'Farmer Demand'!C71</f>
        <v>Panchho bai</v>
      </c>
      <c r="D71" s="6">
        <f>'Farmer Demand'!D71</f>
        <v>0</v>
      </c>
      <c r="E71" s="6" t="str">
        <f>'Farmer Demand'!E71</f>
        <v>No</v>
      </c>
      <c r="F71" s="6" t="str">
        <f>'Farmer Demand'!F71</f>
        <v>Harra Tikur</v>
      </c>
      <c r="G71" s="6" t="str">
        <f>'Farmer Demand'!G71</f>
        <v>Chetna Ajeevika</v>
      </c>
      <c r="H71" s="6" t="str">
        <f>'Farmer Demand'!H71</f>
        <v>Kharif</v>
      </c>
      <c r="I71" s="6" t="s">
        <v>29</v>
      </c>
      <c r="J71" s="10" t="s">
        <v>173</v>
      </c>
      <c r="K71" s="6" t="s">
        <v>29</v>
      </c>
      <c r="L71" s="6" t="str">
        <f>'Farmer Demand'!M71</f>
        <v>120 days</v>
      </c>
      <c r="M71" s="6">
        <v>1</v>
      </c>
      <c r="N71" s="6" t="s">
        <v>191</v>
      </c>
      <c r="O71" s="6"/>
      <c r="P71" s="6"/>
      <c r="Q71" s="6"/>
      <c r="R71" s="6" t="s">
        <v>31</v>
      </c>
      <c r="S71" s="6"/>
      <c r="T71" s="6" t="s">
        <v>254</v>
      </c>
      <c r="U71" s="6" t="s">
        <v>31</v>
      </c>
      <c r="V71" s="6" t="s">
        <v>229</v>
      </c>
      <c r="W71" s="6" t="s">
        <v>229</v>
      </c>
      <c r="X71" s="6" t="s">
        <v>31</v>
      </c>
      <c r="Y71" s="6" t="s">
        <v>229</v>
      </c>
      <c r="Z71" s="6" t="s">
        <v>229</v>
      </c>
      <c r="AA71" s="6" t="s">
        <v>31</v>
      </c>
      <c r="AB71" s="6" t="s">
        <v>229</v>
      </c>
      <c r="AC71" s="6" t="s">
        <v>229</v>
      </c>
      <c r="AD71" s="6" t="s">
        <v>31</v>
      </c>
      <c r="AE71" s="6" t="s">
        <v>229</v>
      </c>
      <c r="AF71" s="6" t="s">
        <v>229</v>
      </c>
      <c r="AG71" s="6" t="s">
        <v>31</v>
      </c>
      <c r="AH71" s="6" t="s">
        <v>229</v>
      </c>
      <c r="AI71" s="6" t="s">
        <v>229</v>
      </c>
      <c r="AJ71" s="6"/>
      <c r="AK71" s="6"/>
      <c r="AL71" s="6"/>
      <c r="AM71" s="6"/>
      <c r="AN71" s="6"/>
      <c r="AO71" s="6"/>
      <c r="AP71" s="6"/>
      <c r="AQ71" s="6"/>
      <c r="AR71" s="6"/>
      <c r="AS71" s="6" t="s">
        <v>29</v>
      </c>
      <c r="AT71" s="6">
        <v>1</v>
      </c>
      <c r="AU71" s="6" t="s">
        <v>191</v>
      </c>
      <c r="AV71" s="6" t="s">
        <v>29</v>
      </c>
      <c r="AW71" s="6">
        <v>1</v>
      </c>
      <c r="AX71" s="6" t="s">
        <v>191</v>
      </c>
      <c r="AY71" s="6" t="s">
        <v>31</v>
      </c>
      <c r="AZ71" s="6" t="s">
        <v>229</v>
      </c>
      <c r="BA71" s="6" t="s">
        <v>229</v>
      </c>
      <c r="BB71" s="6" t="s">
        <v>29</v>
      </c>
      <c r="BC71" s="6">
        <v>1</v>
      </c>
      <c r="BD71" s="6" t="s">
        <v>191</v>
      </c>
      <c r="BE71" s="6">
        <v>900</v>
      </c>
      <c r="BF71" s="6">
        <f>BE71+'Farmer Demand'!K71</f>
        <v>1100</v>
      </c>
    </row>
    <row r="72" spans="1:58" s="15" customFormat="1" ht="12.75" x14ac:dyDescent="0.2">
      <c r="A72" s="6">
        <f>'Farmer Demand'!A72</f>
        <v>70</v>
      </c>
      <c r="B72" s="6" t="str">
        <f>'Farmer Demand'!B72</f>
        <v>Nainwati Marawi</v>
      </c>
      <c r="C72" s="6" t="str">
        <f>'Farmer Demand'!C72</f>
        <v>Prembati bai</v>
      </c>
      <c r="D72" s="6">
        <f>'Farmer Demand'!D72</f>
        <v>0</v>
      </c>
      <c r="E72" s="6" t="str">
        <f>'Farmer Demand'!E72</f>
        <v>No</v>
      </c>
      <c r="F72" s="6" t="str">
        <f>'Farmer Demand'!F72</f>
        <v>Harra Tikur</v>
      </c>
      <c r="G72" s="6" t="str">
        <f>'Farmer Demand'!G72</f>
        <v>Chetna Ajeevika</v>
      </c>
      <c r="H72" s="6" t="str">
        <f>'Farmer Demand'!H72</f>
        <v>Kharif</v>
      </c>
      <c r="I72" s="6" t="s">
        <v>29</v>
      </c>
      <c r="J72" s="10" t="s">
        <v>173</v>
      </c>
      <c r="K72" s="6" t="s">
        <v>29</v>
      </c>
      <c r="L72" s="6" t="str">
        <f>'Farmer Demand'!M72</f>
        <v>120 days</v>
      </c>
      <c r="M72" s="6">
        <v>1</v>
      </c>
      <c r="N72" s="6" t="s">
        <v>191</v>
      </c>
      <c r="O72" s="6"/>
      <c r="P72" s="6"/>
      <c r="Q72" s="6"/>
      <c r="R72" s="6" t="s">
        <v>31</v>
      </c>
      <c r="S72" s="6"/>
      <c r="T72" s="6" t="s">
        <v>254</v>
      </c>
      <c r="U72" s="6" t="s">
        <v>31</v>
      </c>
      <c r="V72" s="6" t="s">
        <v>229</v>
      </c>
      <c r="W72" s="6" t="s">
        <v>229</v>
      </c>
      <c r="X72" s="6" t="s">
        <v>31</v>
      </c>
      <c r="Y72" s="6" t="s">
        <v>229</v>
      </c>
      <c r="Z72" s="6" t="s">
        <v>229</v>
      </c>
      <c r="AA72" s="6" t="s">
        <v>31</v>
      </c>
      <c r="AB72" s="6" t="s">
        <v>229</v>
      </c>
      <c r="AC72" s="6" t="s">
        <v>229</v>
      </c>
      <c r="AD72" s="6" t="s">
        <v>31</v>
      </c>
      <c r="AE72" s="6" t="s">
        <v>229</v>
      </c>
      <c r="AF72" s="6" t="s">
        <v>229</v>
      </c>
      <c r="AG72" s="6" t="s">
        <v>31</v>
      </c>
      <c r="AH72" s="6" t="s">
        <v>229</v>
      </c>
      <c r="AI72" s="6" t="s">
        <v>229</v>
      </c>
      <c r="AJ72" s="6"/>
      <c r="AK72" s="6"/>
      <c r="AL72" s="6"/>
      <c r="AM72" s="6"/>
      <c r="AN72" s="6"/>
      <c r="AO72" s="6"/>
      <c r="AP72" s="6"/>
      <c r="AQ72" s="6"/>
      <c r="AR72" s="6"/>
      <c r="AS72" s="6" t="s">
        <v>29</v>
      </c>
      <c r="AT72" s="6">
        <v>1</v>
      </c>
      <c r="AU72" s="6" t="s">
        <v>191</v>
      </c>
      <c r="AV72" s="6" t="s">
        <v>29</v>
      </c>
      <c r="AW72" s="6">
        <v>1</v>
      </c>
      <c r="AX72" s="6" t="s">
        <v>191</v>
      </c>
      <c r="AY72" s="6" t="s">
        <v>31</v>
      </c>
      <c r="AZ72" s="6" t="s">
        <v>229</v>
      </c>
      <c r="BA72" s="6" t="s">
        <v>229</v>
      </c>
      <c r="BB72" s="6" t="s">
        <v>29</v>
      </c>
      <c r="BC72" s="6">
        <v>1</v>
      </c>
      <c r="BD72" s="6" t="s">
        <v>191</v>
      </c>
      <c r="BE72" s="6">
        <v>900</v>
      </c>
      <c r="BF72" s="6">
        <f>BE72+'Farmer Demand'!K72</f>
        <v>1100</v>
      </c>
    </row>
    <row r="73" spans="1:58" s="15" customFormat="1" ht="12.75" x14ac:dyDescent="0.2">
      <c r="A73" s="6">
        <f>'Farmer Demand'!A73</f>
        <v>71</v>
      </c>
      <c r="B73" s="6" t="str">
        <f>'Farmer Demand'!B73</f>
        <v>Nainwati Marawi</v>
      </c>
      <c r="C73" s="6" t="str">
        <f>'Farmer Demand'!C73</f>
        <v>Shevkali</v>
      </c>
      <c r="D73" s="6">
        <f>'Farmer Demand'!D73</f>
        <v>0</v>
      </c>
      <c r="E73" s="6" t="str">
        <f>'Farmer Demand'!E73</f>
        <v>No</v>
      </c>
      <c r="F73" s="6" t="str">
        <f>'Farmer Demand'!F73</f>
        <v>Harra Tikur</v>
      </c>
      <c r="G73" s="6" t="str">
        <f>'Farmer Demand'!G73</f>
        <v>Chetna Ajeevika</v>
      </c>
      <c r="H73" s="6" t="str">
        <f>'Farmer Demand'!H73</f>
        <v>Kharif</v>
      </c>
      <c r="I73" s="6" t="s">
        <v>29</v>
      </c>
      <c r="J73" s="10" t="s">
        <v>173</v>
      </c>
      <c r="K73" s="6" t="s">
        <v>29</v>
      </c>
      <c r="L73" s="6" t="str">
        <f>'Farmer Demand'!M73</f>
        <v>120 days</v>
      </c>
      <c r="M73" s="6">
        <v>1</v>
      </c>
      <c r="N73" s="6" t="s">
        <v>191</v>
      </c>
      <c r="O73" s="6"/>
      <c r="P73" s="6"/>
      <c r="Q73" s="6"/>
      <c r="R73" s="6" t="s">
        <v>31</v>
      </c>
      <c r="S73" s="6"/>
      <c r="T73" s="6" t="s">
        <v>254</v>
      </c>
      <c r="U73" s="6" t="s">
        <v>31</v>
      </c>
      <c r="V73" s="6" t="s">
        <v>229</v>
      </c>
      <c r="W73" s="6" t="s">
        <v>229</v>
      </c>
      <c r="X73" s="6" t="s">
        <v>31</v>
      </c>
      <c r="Y73" s="6" t="s">
        <v>229</v>
      </c>
      <c r="Z73" s="6" t="s">
        <v>229</v>
      </c>
      <c r="AA73" s="6" t="s">
        <v>31</v>
      </c>
      <c r="AB73" s="6" t="s">
        <v>229</v>
      </c>
      <c r="AC73" s="6" t="s">
        <v>229</v>
      </c>
      <c r="AD73" s="6" t="s">
        <v>31</v>
      </c>
      <c r="AE73" s="6" t="s">
        <v>229</v>
      </c>
      <c r="AF73" s="6" t="s">
        <v>229</v>
      </c>
      <c r="AG73" s="6" t="s">
        <v>31</v>
      </c>
      <c r="AH73" s="6" t="s">
        <v>229</v>
      </c>
      <c r="AI73" s="6" t="s">
        <v>229</v>
      </c>
      <c r="AJ73" s="6"/>
      <c r="AK73" s="6"/>
      <c r="AL73" s="6"/>
      <c r="AM73" s="6"/>
      <c r="AN73" s="6"/>
      <c r="AO73" s="6"/>
      <c r="AP73" s="6"/>
      <c r="AQ73" s="6"/>
      <c r="AR73" s="6"/>
      <c r="AS73" s="6" t="s">
        <v>29</v>
      </c>
      <c r="AT73" s="6">
        <v>1</v>
      </c>
      <c r="AU73" s="6" t="s">
        <v>191</v>
      </c>
      <c r="AV73" s="6" t="s">
        <v>29</v>
      </c>
      <c r="AW73" s="6">
        <v>1</v>
      </c>
      <c r="AX73" s="6" t="s">
        <v>191</v>
      </c>
      <c r="AY73" s="6" t="s">
        <v>31</v>
      </c>
      <c r="AZ73" s="6" t="s">
        <v>229</v>
      </c>
      <c r="BA73" s="6" t="s">
        <v>229</v>
      </c>
      <c r="BB73" s="6" t="s">
        <v>29</v>
      </c>
      <c r="BC73" s="6">
        <v>1</v>
      </c>
      <c r="BD73" s="6" t="s">
        <v>191</v>
      </c>
      <c r="BE73" s="6">
        <v>900</v>
      </c>
      <c r="BF73" s="6">
        <f>BE73+'Farmer Demand'!K73</f>
        <v>1100</v>
      </c>
    </row>
    <row r="74" spans="1:58" s="15" customFormat="1" ht="12.75" x14ac:dyDescent="0.2">
      <c r="A74" s="6">
        <f>'Farmer Demand'!A74</f>
        <v>72</v>
      </c>
      <c r="B74" s="6" t="str">
        <f>'Farmer Demand'!B74</f>
        <v>Nainwati Marawi</v>
      </c>
      <c r="C74" s="6" t="str">
        <f>'Farmer Demand'!C74</f>
        <v>Sohaniya bai</v>
      </c>
      <c r="D74" s="6">
        <f>'Farmer Demand'!D74</f>
        <v>0</v>
      </c>
      <c r="E74" s="6" t="str">
        <f>'Farmer Demand'!E74</f>
        <v>No</v>
      </c>
      <c r="F74" s="6" t="str">
        <f>'Farmer Demand'!F74</f>
        <v>Harra Tikur</v>
      </c>
      <c r="G74" s="6" t="str">
        <f>'Farmer Demand'!G74</f>
        <v>Chetna Ajeevika</v>
      </c>
      <c r="H74" s="6" t="str">
        <f>'Farmer Demand'!H74</f>
        <v>Kharif</v>
      </c>
      <c r="I74" s="6" t="s">
        <v>29</v>
      </c>
      <c r="J74" s="10" t="s">
        <v>173</v>
      </c>
      <c r="K74" s="6" t="s">
        <v>29</v>
      </c>
      <c r="L74" s="6" t="str">
        <f>'Farmer Demand'!M74</f>
        <v>120 days</v>
      </c>
      <c r="M74" s="6">
        <v>1</v>
      </c>
      <c r="N74" s="6" t="s">
        <v>191</v>
      </c>
      <c r="O74" s="6"/>
      <c r="P74" s="6"/>
      <c r="Q74" s="6"/>
      <c r="R74" s="6" t="s">
        <v>31</v>
      </c>
      <c r="S74" s="6"/>
      <c r="T74" s="6" t="s">
        <v>254</v>
      </c>
      <c r="U74" s="6" t="s">
        <v>31</v>
      </c>
      <c r="V74" s="6" t="s">
        <v>229</v>
      </c>
      <c r="W74" s="6" t="s">
        <v>229</v>
      </c>
      <c r="X74" s="6" t="s">
        <v>31</v>
      </c>
      <c r="Y74" s="6" t="s">
        <v>229</v>
      </c>
      <c r="Z74" s="6" t="s">
        <v>229</v>
      </c>
      <c r="AA74" s="6" t="s">
        <v>31</v>
      </c>
      <c r="AB74" s="6" t="s">
        <v>229</v>
      </c>
      <c r="AC74" s="6" t="s">
        <v>229</v>
      </c>
      <c r="AD74" s="6" t="s">
        <v>31</v>
      </c>
      <c r="AE74" s="6" t="s">
        <v>229</v>
      </c>
      <c r="AF74" s="6" t="s">
        <v>229</v>
      </c>
      <c r="AG74" s="6" t="s">
        <v>31</v>
      </c>
      <c r="AH74" s="6" t="s">
        <v>229</v>
      </c>
      <c r="AI74" s="6" t="s">
        <v>229</v>
      </c>
      <c r="AJ74" s="6"/>
      <c r="AK74" s="6"/>
      <c r="AL74" s="6"/>
      <c r="AM74" s="6"/>
      <c r="AN74" s="6"/>
      <c r="AO74" s="6"/>
      <c r="AP74" s="6"/>
      <c r="AQ74" s="6"/>
      <c r="AR74" s="6"/>
      <c r="AS74" s="6" t="s">
        <v>29</v>
      </c>
      <c r="AT74" s="6">
        <v>1</v>
      </c>
      <c r="AU74" s="6" t="s">
        <v>191</v>
      </c>
      <c r="AV74" s="6" t="s">
        <v>29</v>
      </c>
      <c r="AW74" s="6">
        <v>1</v>
      </c>
      <c r="AX74" s="6" t="s">
        <v>191</v>
      </c>
      <c r="AY74" s="6" t="s">
        <v>31</v>
      </c>
      <c r="AZ74" s="6" t="s">
        <v>229</v>
      </c>
      <c r="BA74" s="6" t="s">
        <v>229</v>
      </c>
      <c r="BB74" s="6" t="s">
        <v>29</v>
      </c>
      <c r="BC74" s="6">
        <v>1</v>
      </c>
      <c r="BD74" s="6" t="s">
        <v>191</v>
      </c>
      <c r="BE74" s="6">
        <v>900</v>
      </c>
      <c r="BF74" s="6">
        <f>BE74+'Farmer Demand'!K74</f>
        <v>1100</v>
      </c>
    </row>
    <row r="75" spans="1:58" s="15" customFormat="1" ht="12.75" x14ac:dyDescent="0.2">
      <c r="A75" s="6">
        <f>'Farmer Demand'!A75</f>
        <v>73</v>
      </c>
      <c r="B75" s="6" t="str">
        <f>'Farmer Demand'!B75</f>
        <v>Nainwati Marawi</v>
      </c>
      <c r="C75" s="6" t="str">
        <f>'Farmer Demand'!C75</f>
        <v>Sukalwati</v>
      </c>
      <c r="D75" s="6">
        <f>'Farmer Demand'!D75</f>
        <v>0</v>
      </c>
      <c r="E75" s="6" t="str">
        <f>'Farmer Demand'!E75</f>
        <v>No</v>
      </c>
      <c r="F75" s="6" t="str">
        <f>'Farmer Demand'!F75</f>
        <v>Harra Tikur</v>
      </c>
      <c r="G75" s="6" t="str">
        <f>'Farmer Demand'!G75</f>
        <v>Chetna Ajeevika</v>
      </c>
      <c r="H75" s="6" t="str">
        <f>'Farmer Demand'!H75</f>
        <v>Kharif</v>
      </c>
      <c r="I75" s="6" t="s">
        <v>29</v>
      </c>
      <c r="J75" s="10" t="s">
        <v>173</v>
      </c>
      <c r="K75" s="6" t="s">
        <v>29</v>
      </c>
      <c r="L75" s="6" t="str">
        <f>'Farmer Demand'!M75</f>
        <v>120 days</v>
      </c>
      <c r="M75" s="6">
        <v>1</v>
      </c>
      <c r="N75" s="6" t="s">
        <v>191</v>
      </c>
      <c r="O75" s="6"/>
      <c r="P75" s="6"/>
      <c r="Q75" s="6"/>
      <c r="R75" s="6" t="s">
        <v>31</v>
      </c>
      <c r="S75" s="6"/>
      <c r="T75" s="6" t="s">
        <v>254</v>
      </c>
      <c r="U75" s="6" t="s">
        <v>31</v>
      </c>
      <c r="V75" s="6" t="s">
        <v>229</v>
      </c>
      <c r="W75" s="6" t="s">
        <v>229</v>
      </c>
      <c r="X75" s="6" t="s">
        <v>31</v>
      </c>
      <c r="Y75" s="6" t="s">
        <v>229</v>
      </c>
      <c r="Z75" s="6" t="s">
        <v>229</v>
      </c>
      <c r="AA75" s="6" t="s">
        <v>31</v>
      </c>
      <c r="AB75" s="6" t="s">
        <v>229</v>
      </c>
      <c r="AC75" s="6" t="s">
        <v>229</v>
      </c>
      <c r="AD75" s="6" t="s">
        <v>31</v>
      </c>
      <c r="AE75" s="6" t="s">
        <v>229</v>
      </c>
      <c r="AF75" s="6" t="s">
        <v>229</v>
      </c>
      <c r="AG75" s="6" t="s">
        <v>31</v>
      </c>
      <c r="AH75" s="6" t="s">
        <v>229</v>
      </c>
      <c r="AI75" s="6" t="s">
        <v>229</v>
      </c>
      <c r="AJ75" s="6"/>
      <c r="AK75" s="6"/>
      <c r="AL75" s="6"/>
      <c r="AM75" s="6"/>
      <c r="AN75" s="6"/>
      <c r="AO75" s="6"/>
      <c r="AP75" s="6"/>
      <c r="AQ75" s="6"/>
      <c r="AR75" s="6"/>
      <c r="AS75" s="6" t="s">
        <v>29</v>
      </c>
      <c r="AT75" s="6">
        <v>1</v>
      </c>
      <c r="AU75" s="6" t="s">
        <v>191</v>
      </c>
      <c r="AV75" s="6" t="s">
        <v>29</v>
      </c>
      <c r="AW75" s="6">
        <v>1</v>
      </c>
      <c r="AX75" s="6" t="s">
        <v>191</v>
      </c>
      <c r="AY75" s="6" t="s">
        <v>31</v>
      </c>
      <c r="AZ75" s="6" t="s">
        <v>229</v>
      </c>
      <c r="BA75" s="6" t="s">
        <v>229</v>
      </c>
      <c r="BB75" s="6" t="s">
        <v>29</v>
      </c>
      <c r="BC75" s="6">
        <v>1</v>
      </c>
      <c r="BD75" s="6" t="s">
        <v>191</v>
      </c>
      <c r="BE75" s="6">
        <v>900</v>
      </c>
      <c r="BF75" s="6">
        <f>BE75+'Farmer Demand'!K75</f>
        <v>1100</v>
      </c>
    </row>
    <row r="76" spans="1:58" s="15" customFormat="1" ht="12.75" x14ac:dyDescent="0.2">
      <c r="A76" s="6">
        <f>'Farmer Demand'!A76</f>
        <v>74</v>
      </c>
      <c r="B76" s="6" t="str">
        <f>'Farmer Demand'!B76</f>
        <v>Nainwati Marawi</v>
      </c>
      <c r="C76" s="6" t="str">
        <f>'Farmer Demand'!C76</f>
        <v>Devanti</v>
      </c>
      <c r="D76" s="6">
        <f>'Farmer Demand'!D76</f>
        <v>0</v>
      </c>
      <c r="E76" s="6" t="str">
        <f>'Farmer Demand'!E76</f>
        <v>No</v>
      </c>
      <c r="F76" s="6" t="str">
        <f>'Farmer Demand'!F76</f>
        <v>Harra Tikur</v>
      </c>
      <c r="G76" s="6" t="str">
        <f>'Farmer Demand'!G76</f>
        <v>Om Shanti Ajeevika</v>
      </c>
      <c r="H76" s="6" t="str">
        <f>'Farmer Demand'!H76</f>
        <v>Kharif</v>
      </c>
      <c r="I76" s="6" t="s">
        <v>29</v>
      </c>
      <c r="J76" s="10" t="s">
        <v>173</v>
      </c>
      <c r="K76" s="6" t="s">
        <v>29</v>
      </c>
      <c r="L76" s="6" t="str">
        <f>'Farmer Demand'!M76</f>
        <v>120 days</v>
      </c>
      <c r="M76" s="6">
        <v>1</v>
      </c>
      <c r="N76" s="6" t="s">
        <v>191</v>
      </c>
      <c r="O76" s="6"/>
      <c r="P76" s="6"/>
      <c r="Q76" s="6"/>
      <c r="R76" s="6" t="s">
        <v>31</v>
      </c>
      <c r="S76" s="6"/>
      <c r="T76" s="6" t="s">
        <v>254</v>
      </c>
      <c r="U76" s="6" t="s">
        <v>31</v>
      </c>
      <c r="V76" s="6" t="s">
        <v>229</v>
      </c>
      <c r="W76" s="6" t="s">
        <v>229</v>
      </c>
      <c r="X76" s="6" t="s">
        <v>31</v>
      </c>
      <c r="Y76" s="6" t="s">
        <v>229</v>
      </c>
      <c r="Z76" s="6" t="s">
        <v>229</v>
      </c>
      <c r="AA76" s="6" t="s">
        <v>31</v>
      </c>
      <c r="AB76" s="6" t="s">
        <v>229</v>
      </c>
      <c r="AC76" s="6" t="s">
        <v>229</v>
      </c>
      <c r="AD76" s="6" t="s">
        <v>31</v>
      </c>
      <c r="AE76" s="6" t="s">
        <v>229</v>
      </c>
      <c r="AF76" s="6" t="s">
        <v>229</v>
      </c>
      <c r="AG76" s="6" t="s">
        <v>31</v>
      </c>
      <c r="AH76" s="6" t="s">
        <v>229</v>
      </c>
      <c r="AI76" s="6" t="s">
        <v>229</v>
      </c>
      <c r="AJ76" s="6"/>
      <c r="AK76" s="6"/>
      <c r="AL76" s="6"/>
      <c r="AM76" s="6"/>
      <c r="AN76" s="6"/>
      <c r="AO76" s="6"/>
      <c r="AP76" s="6"/>
      <c r="AQ76" s="6"/>
      <c r="AR76" s="6"/>
      <c r="AS76" s="6" t="s">
        <v>29</v>
      </c>
      <c r="AT76" s="6">
        <v>1</v>
      </c>
      <c r="AU76" s="6" t="s">
        <v>191</v>
      </c>
      <c r="AV76" s="6" t="s">
        <v>29</v>
      </c>
      <c r="AW76" s="6">
        <v>1</v>
      </c>
      <c r="AX76" s="6" t="s">
        <v>191</v>
      </c>
      <c r="AY76" s="6" t="s">
        <v>31</v>
      </c>
      <c r="AZ76" s="6" t="s">
        <v>229</v>
      </c>
      <c r="BA76" s="6" t="s">
        <v>229</v>
      </c>
      <c r="BB76" s="6" t="s">
        <v>29</v>
      </c>
      <c r="BC76" s="6">
        <v>1</v>
      </c>
      <c r="BD76" s="6" t="s">
        <v>191</v>
      </c>
      <c r="BE76" s="6">
        <v>900</v>
      </c>
      <c r="BF76" s="6">
        <f>BE76+'Farmer Demand'!K76</f>
        <v>1100</v>
      </c>
    </row>
    <row r="77" spans="1:58" s="15" customFormat="1" ht="12.75" x14ac:dyDescent="0.2">
      <c r="A77" s="6">
        <f>'Farmer Demand'!A77</f>
        <v>75</v>
      </c>
      <c r="B77" s="6" t="str">
        <f>'Farmer Demand'!B77</f>
        <v>Nainwati Marawi</v>
      </c>
      <c r="C77" s="6" t="str">
        <f>'Farmer Demand'!C77</f>
        <v>Durgeshni</v>
      </c>
      <c r="D77" s="6">
        <f>'Farmer Demand'!D77</f>
        <v>0</v>
      </c>
      <c r="E77" s="6" t="str">
        <f>'Farmer Demand'!E77</f>
        <v>No</v>
      </c>
      <c r="F77" s="6" t="str">
        <f>'Farmer Demand'!F77</f>
        <v>Harra Tikur</v>
      </c>
      <c r="G77" s="6" t="str">
        <f>'Farmer Demand'!G77</f>
        <v>Om Shanti Ajeevika</v>
      </c>
      <c r="H77" s="6" t="str">
        <f>'Farmer Demand'!H77</f>
        <v>Kharif</v>
      </c>
      <c r="I77" s="6" t="s">
        <v>29</v>
      </c>
      <c r="J77" s="10" t="s">
        <v>173</v>
      </c>
      <c r="K77" s="6" t="s">
        <v>29</v>
      </c>
      <c r="L77" s="6" t="str">
        <f>'Farmer Demand'!M77</f>
        <v>120 days</v>
      </c>
      <c r="M77" s="6">
        <v>1</v>
      </c>
      <c r="N77" s="6" t="s">
        <v>191</v>
      </c>
      <c r="O77" s="6"/>
      <c r="P77" s="6"/>
      <c r="Q77" s="6"/>
      <c r="R77" s="6" t="s">
        <v>31</v>
      </c>
      <c r="S77" s="6"/>
      <c r="T77" s="6" t="s">
        <v>254</v>
      </c>
      <c r="U77" s="6" t="s">
        <v>31</v>
      </c>
      <c r="V77" s="6" t="s">
        <v>229</v>
      </c>
      <c r="W77" s="6" t="s">
        <v>229</v>
      </c>
      <c r="X77" s="6" t="s">
        <v>31</v>
      </c>
      <c r="Y77" s="6" t="s">
        <v>229</v>
      </c>
      <c r="Z77" s="6" t="s">
        <v>229</v>
      </c>
      <c r="AA77" s="6" t="s">
        <v>31</v>
      </c>
      <c r="AB77" s="6" t="s">
        <v>229</v>
      </c>
      <c r="AC77" s="6" t="s">
        <v>229</v>
      </c>
      <c r="AD77" s="6" t="s">
        <v>31</v>
      </c>
      <c r="AE77" s="6" t="s">
        <v>229</v>
      </c>
      <c r="AF77" s="6" t="s">
        <v>229</v>
      </c>
      <c r="AG77" s="6" t="s">
        <v>31</v>
      </c>
      <c r="AH77" s="6" t="s">
        <v>229</v>
      </c>
      <c r="AI77" s="6" t="s">
        <v>229</v>
      </c>
      <c r="AJ77" s="6"/>
      <c r="AK77" s="6"/>
      <c r="AL77" s="6"/>
      <c r="AM77" s="6"/>
      <c r="AN77" s="6"/>
      <c r="AO77" s="6"/>
      <c r="AP77" s="6"/>
      <c r="AQ77" s="6"/>
      <c r="AR77" s="6"/>
      <c r="AS77" s="6" t="s">
        <v>29</v>
      </c>
      <c r="AT77" s="6">
        <v>1</v>
      </c>
      <c r="AU77" s="6" t="s">
        <v>191</v>
      </c>
      <c r="AV77" s="6" t="s">
        <v>29</v>
      </c>
      <c r="AW77" s="6">
        <v>1</v>
      </c>
      <c r="AX77" s="6" t="s">
        <v>191</v>
      </c>
      <c r="AY77" s="6" t="s">
        <v>31</v>
      </c>
      <c r="AZ77" s="6" t="s">
        <v>229</v>
      </c>
      <c r="BA77" s="6" t="s">
        <v>229</v>
      </c>
      <c r="BB77" s="6" t="s">
        <v>29</v>
      </c>
      <c r="BC77" s="6">
        <v>1</v>
      </c>
      <c r="BD77" s="6" t="s">
        <v>191</v>
      </c>
      <c r="BE77" s="6">
        <v>900</v>
      </c>
      <c r="BF77" s="6">
        <f>BE77+'Farmer Demand'!K77</f>
        <v>1100</v>
      </c>
    </row>
    <row r="78" spans="1:58" s="15" customFormat="1" ht="12.75" x14ac:dyDescent="0.2">
      <c r="A78" s="6">
        <f>'Farmer Demand'!A78</f>
        <v>76</v>
      </c>
      <c r="B78" s="6" t="str">
        <f>'Farmer Demand'!B78</f>
        <v>Nainwati Marawi</v>
      </c>
      <c r="C78" s="6" t="str">
        <f>'Farmer Demand'!C78</f>
        <v>Guddi Bai</v>
      </c>
      <c r="D78" s="6">
        <f>'Farmer Demand'!D78</f>
        <v>0</v>
      </c>
      <c r="E78" s="6" t="str">
        <f>'Farmer Demand'!E78</f>
        <v>No</v>
      </c>
      <c r="F78" s="6" t="str">
        <f>'Farmer Demand'!F78</f>
        <v>Harra Tikur</v>
      </c>
      <c r="G78" s="6" t="str">
        <f>'Farmer Demand'!G78</f>
        <v>Om Shanti Ajeevika</v>
      </c>
      <c r="H78" s="6" t="str">
        <f>'Farmer Demand'!H78</f>
        <v>Kharif</v>
      </c>
      <c r="I78" s="6" t="s">
        <v>29</v>
      </c>
      <c r="J78" s="10" t="s">
        <v>173</v>
      </c>
      <c r="K78" s="6" t="s">
        <v>29</v>
      </c>
      <c r="L78" s="6" t="str">
        <f>'Farmer Demand'!M78</f>
        <v>120 days</v>
      </c>
      <c r="M78" s="6">
        <v>1</v>
      </c>
      <c r="N78" s="6" t="s">
        <v>191</v>
      </c>
      <c r="O78" s="6"/>
      <c r="P78" s="6"/>
      <c r="Q78" s="6"/>
      <c r="R78" s="6" t="s">
        <v>31</v>
      </c>
      <c r="S78" s="6"/>
      <c r="T78" s="6" t="s">
        <v>254</v>
      </c>
      <c r="U78" s="6" t="s">
        <v>31</v>
      </c>
      <c r="V78" s="6" t="s">
        <v>229</v>
      </c>
      <c r="W78" s="6" t="s">
        <v>229</v>
      </c>
      <c r="X78" s="6" t="s">
        <v>31</v>
      </c>
      <c r="Y78" s="6" t="s">
        <v>229</v>
      </c>
      <c r="Z78" s="6" t="s">
        <v>229</v>
      </c>
      <c r="AA78" s="6" t="s">
        <v>31</v>
      </c>
      <c r="AB78" s="6" t="s">
        <v>229</v>
      </c>
      <c r="AC78" s="6" t="s">
        <v>229</v>
      </c>
      <c r="AD78" s="6" t="s">
        <v>31</v>
      </c>
      <c r="AE78" s="6" t="s">
        <v>229</v>
      </c>
      <c r="AF78" s="6" t="s">
        <v>229</v>
      </c>
      <c r="AG78" s="6" t="s">
        <v>31</v>
      </c>
      <c r="AH78" s="6" t="s">
        <v>229</v>
      </c>
      <c r="AI78" s="6" t="s">
        <v>229</v>
      </c>
      <c r="AJ78" s="6"/>
      <c r="AK78" s="6"/>
      <c r="AL78" s="6"/>
      <c r="AM78" s="6"/>
      <c r="AN78" s="6"/>
      <c r="AO78" s="6"/>
      <c r="AP78" s="6"/>
      <c r="AQ78" s="6"/>
      <c r="AR78" s="6"/>
      <c r="AS78" s="6" t="s">
        <v>29</v>
      </c>
      <c r="AT78" s="6">
        <v>1</v>
      </c>
      <c r="AU78" s="6" t="s">
        <v>191</v>
      </c>
      <c r="AV78" s="6" t="s">
        <v>29</v>
      </c>
      <c r="AW78" s="6">
        <v>1</v>
      </c>
      <c r="AX78" s="6" t="s">
        <v>191</v>
      </c>
      <c r="AY78" s="6" t="s">
        <v>29</v>
      </c>
      <c r="AZ78" s="6">
        <v>1</v>
      </c>
      <c r="BA78" s="6" t="s">
        <v>191</v>
      </c>
      <c r="BB78" s="6" t="s">
        <v>29</v>
      </c>
      <c r="BC78" s="6">
        <v>1</v>
      </c>
      <c r="BD78" s="6" t="s">
        <v>191</v>
      </c>
      <c r="BE78" s="6">
        <v>900</v>
      </c>
      <c r="BF78" s="6">
        <f>BE78+'Farmer Demand'!K78</f>
        <v>1100</v>
      </c>
    </row>
    <row r="79" spans="1:58" s="15" customFormat="1" ht="12.75" x14ac:dyDescent="0.2">
      <c r="A79" s="6">
        <f>'Farmer Demand'!A79</f>
        <v>77</v>
      </c>
      <c r="B79" s="6" t="str">
        <f>'Farmer Demand'!B79</f>
        <v>Nainwati Marawi</v>
      </c>
      <c r="C79" s="6" t="str">
        <f>'Farmer Demand'!C79</f>
        <v>Kalawati</v>
      </c>
      <c r="D79" s="6">
        <f>'Farmer Demand'!D79</f>
        <v>0</v>
      </c>
      <c r="E79" s="6" t="str">
        <f>'Farmer Demand'!E79</f>
        <v>No</v>
      </c>
      <c r="F79" s="6" t="str">
        <f>'Farmer Demand'!F79</f>
        <v>Harra Tikur</v>
      </c>
      <c r="G79" s="6" t="str">
        <f>'Farmer Demand'!G79</f>
        <v>Om Shanti Ajeevika</v>
      </c>
      <c r="H79" s="6" t="str">
        <f>'Farmer Demand'!H79</f>
        <v>Kharif</v>
      </c>
      <c r="I79" s="6" t="s">
        <v>29</v>
      </c>
      <c r="J79" s="10" t="s">
        <v>173</v>
      </c>
      <c r="K79" s="6" t="s">
        <v>29</v>
      </c>
      <c r="L79" s="6" t="str">
        <f>'Farmer Demand'!M79</f>
        <v>120 days</v>
      </c>
      <c r="M79" s="6">
        <v>1</v>
      </c>
      <c r="N79" s="6" t="s">
        <v>191</v>
      </c>
      <c r="O79" s="6"/>
      <c r="P79" s="6"/>
      <c r="Q79" s="6"/>
      <c r="R79" s="6" t="s">
        <v>31</v>
      </c>
      <c r="S79" s="6"/>
      <c r="T79" s="6" t="s">
        <v>254</v>
      </c>
      <c r="U79" s="6" t="s">
        <v>31</v>
      </c>
      <c r="V79" s="6" t="s">
        <v>229</v>
      </c>
      <c r="W79" s="6" t="s">
        <v>229</v>
      </c>
      <c r="X79" s="6" t="s">
        <v>31</v>
      </c>
      <c r="Y79" s="6" t="s">
        <v>229</v>
      </c>
      <c r="Z79" s="6" t="s">
        <v>229</v>
      </c>
      <c r="AA79" s="6" t="s">
        <v>31</v>
      </c>
      <c r="AB79" s="6" t="s">
        <v>229</v>
      </c>
      <c r="AC79" s="6" t="s">
        <v>229</v>
      </c>
      <c r="AD79" s="6" t="s">
        <v>31</v>
      </c>
      <c r="AE79" s="6" t="s">
        <v>229</v>
      </c>
      <c r="AF79" s="6" t="s">
        <v>229</v>
      </c>
      <c r="AG79" s="6" t="s">
        <v>31</v>
      </c>
      <c r="AH79" s="6" t="s">
        <v>229</v>
      </c>
      <c r="AI79" s="6" t="s">
        <v>229</v>
      </c>
      <c r="AJ79" s="6"/>
      <c r="AK79" s="6"/>
      <c r="AL79" s="6"/>
      <c r="AM79" s="6"/>
      <c r="AN79" s="6"/>
      <c r="AO79" s="6"/>
      <c r="AP79" s="6"/>
      <c r="AQ79" s="6"/>
      <c r="AR79" s="6"/>
      <c r="AS79" s="6" t="s">
        <v>29</v>
      </c>
      <c r="AT79" s="6">
        <v>1</v>
      </c>
      <c r="AU79" s="6" t="s">
        <v>191</v>
      </c>
      <c r="AV79" s="6" t="s">
        <v>31</v>
      </c>
      <c r="AW79" s="6" t="s">
        <v>229</v>
      </c>
      <c r="AX79" s="6" t="s">
        <v>229</v>
      </c>
      <c r="AY79" s="6" t="s">
        <v>29</v>
      </c>
      <c r="AZ79" s="6">
        <v>1</v>
      </c>
      <c r="BA79" s="6" t="s">
        <v>191</v>
      </c>
      <c r="BB79" s="6" t="s">
        <v>29</v>
      </c>
      <c r="BC79" s="6">
        <v>1</v>
      </c>
      <c r="BD79" s="6" t="s">
        <v>191</v>
      </c>
      <c r="BE79" s="6">
        <v>900</v>
      </c>
      <c r="BF79" s="6">
        <f>BE79+'Farmer Demand'!K79</f>
        <v>1100</v>
      </c>
    </row>
    <row r="80" spans="1:58" s="15" customFormat="1" ht="12.75" x14ac:dyDescent="0.2">
      <c r="A80" s="6">
        <f>'Farmer Demand'!A80</f>
        <v>78</v>
      </c>
      <c r="B80" s="6" t="str">
        <f>'Farmer Demand'!B80</f>
        <v>Nainwati Marawi</v>
      </c>
      <c r="C80" s="6" t="str">
        <f>'Farmer Demand'!C80</f>
        <v>Kali Bai</v>
      </c>
      <c r="D80" s="6">
        <f>'Farmer Demand'!D80</f>
        <v>0</v>
      </c>
      <c r="E80" s="6" t="str">
        <f>'Farmer Demand'!E80</f>
        <v>No</v>
      </c>
      <c r="F80" s="6" t="str">
        <f>'Farmer Demand'!F80</f>
        <v>Harra Tikur</v>
      </c>
      <c r="G80" s="6" t="str">
        <f>'Farmer Demand'!G80</f>
        <v>Om Shanti Ajeevika</v>
      </c>
      <c r="H80" s="6" t="str">
        <f>'Farmer Demand'!H80</f>
        <v>Kharif</v>
      </c>
      <c r="I80" s="6" t="s">
        <v>29</v>
      </c>
      <c r="J80" s="10" t="s">
        <v>173</v>
      </c>
      <c r="K80" s="6" t="s">
        <v>29</v>
      </c>
      <c r="L80" s="6" t="str">
        <f>'Farmer Demand'!M80</f>
        <v>120 days</v>
      </c>
      <c r="M80" s="6">
        <v>1</v>
      </c>
      <c r="N80" s="6" t="s">
        <v>191</v>
      </c>
      <c r="O80" s="6"/>
      <c r="P80" s="6"/>
      <c r="Q80" s="6"/>
      <c r="R80" s="6" t="s">
        <v>31</v>
      </c>
      <c r="S80" s="6"/>
      <c r="T80" s="6" t="s">
        <v>254</v>
      </c>
      <c r="U80" s="6" t="s">
        <v>31</v>
      </c>
      <c r="V80" s="6" t="s">
        <v>229</v>
      </c>
      <c r="W80" s="6" t="s">
        <v>229</v>
      </c>
      <c r="X80" s="6" t="s">
        <v>31</v>
      </c>
      <c r="Y80" s="6" t="s">
        <v>229</v>
      </c>
      <c r="Z80" s="6" t="s">
        <v>229</v>
      </c>
      <c r="AA80" s="6" t="s">
        <v>31</v>
      </c>
      <c r="AB80" s="6" t="s">
        <v>229</v>
      </c>
      <c r="AC80" s="6" t="s">
        <v>229</v>
      </c>
      <c r="AD80" s="6" t="s">
        <v>31</v>
      </c>
      <c r="AE80" s="6" t="s">
        <v>229</v>
      </c>
      <c r="AF80" s="6" t="s">
        <v>229</v>
      </c>
      <c r="AG80" s="6" t="s">
        <v>31</v>
      </c>
      <c r="AH80" s="6" t="s">
        <v>229</v>
      </c>
      <c r="AI80" s="6" t="s">
        <v>229</v>
      </c>
      <c r="AJ80" s="6"/>
      <c r="AK80" s="6"/>
      <c r="AL80" s="6"/>
      <c r="AM80" s="6"/>
      <c r="AN80" s="6"/>
      <c r="AO80" s="6"/>
      <c r="AP80" s="6"/>
      <c r="AQ80" s="6"/>
      <c r="AR80" s="6"/>
      <c r="AS80" s="6" t="s">
        <v>29</v>
      </c>
      <c r="AT80" s="6">
        <v>1</v>
      </c>
      <c r="AU80" s="6" t="s">
        <v>191</v>
      </c>
      <c r="AV80" s="6" t="s">
        <v>31</v>
      </c>
      <c r="AW80" s="6" t="s">
        <v>229</v>
      </c>
      <c r="AX80" s="6" t="s">
        <v>229</v>
      </c>
      <c r="AY80" s="6" t="s">
        <v>29</v>
      </c>
      <c r="AZ80" s="6">
        <v>1</v>
      </c>
      <c r="BA80" s="6" t="s">
        <v>191</v>
      </c>
      <c r="BB80" s="6" t="s">
        <v>29</v>
      </c>
      <c r="BC80" s="6">
        <v>1</v>
      </c>
      <c r="BD80" s="6" t="s">
        <v>191</v>
      </c>
      <c r="BE80" s="6">
        <v>900</v>
      </c>
      <c r="BF80" s="6">
        <f>BE80+'Farmer Demand'!K80</f>
        <v>1100</v>
      </c>
    </row>
    <row r="81" spans="1:58" s="15" customFormat="1" ht="12.75" x14ac:dyDescent="0.2">
      <c r="A81" s="6">
        <f>'Farmer Demand'!A81</f>
        <v>79</v>
      </c>
      <c r="B81" s="6" t="str">
        <f>'Farmer Demand'!B81</f>
        <v>Nainwati Marawi</v>
      </c>
      <c r="C81" s="6" t="str">
        <f>'Farmer Demand'!C81</f>
        <v>Kasturiya</v>
      </c>
      <c r="D81" s="6">
        <f>'Farmer Demand'!D81</f>
        <v>0</v>
      </c>
      <c r="E81" s="6" t="str">
        <f>'Farmer Demand'!E81</f>
        <v>No</v>
      </c>
      <c r="F81" s="6" t="str">
        <f>'Farmer Demand'!F81</f>
        <v>Harra Tikur</v>
      </c>
      <c r="G81" s="6" t="str">
        <f>'Farmer Demand'!G81</f>
        <v>Om Shanti Ajeevika</v>
      </c>
      <c r="H81" s="6" t="str">
        <f>'Farmer Demand'!H81</f>
        <v>Kharif</v>
      </c>
      <c r="I81" s="6" t="s">
        <v>29</v>
      </c>
      <c r="J81" s="10" t="s">
        <v>173</v>
      </c>
      <c r="K81" s="6" t="s">
        <v>29</v>
      </c>
      <c r="L81" s="6" t="str">
        <f>'Farmer Demand'!M81</f>
        <v>120 days</v>
      </c>
      <c r="M81" s="6">
        <v>1</v>
      </c>
      <c r="N81" s="6" t="s">
        <v>191</v>
      </c>
      <c r="O81" s="6"/>
      <c r="P81" s="6"/>
      <c r="Q81" s="6"/>
      <c r="R81" s="6" t="s">
        <v>31</v>
      </c>
      <c r="S81" s="6"/>
      <c r="T81" s="6" t="s">
        <v>254</v>
      </c>
      <c r="U81" s="6" t="s">
        <v>31</v>
      </c>
      <c r="V81" s="6" t="s">
        <v>229</v>
      </c>
      <c r="W81" s="6" t="s">
        <v>229</v>
      </c>
      <c r="X81" s="6" t="s">
        <v>31</v>
      </c>
      <c r="Y81" s="6" t="s">
        <v>229</v>
      </c>
      <c r="Z81" s="6" t="s">
        <v>229</v>
      </c>
      <c r="AA81" s="6" t="s">
        <v>31</v>
      </c>
      <c r="AB81" s="6" t="s">
        <v>229</v>
      </c>
      <c r="AC81" s="6" t="s">
        <v>229</v>
      </c>
      <c r="AD81" s="6" t="s">
        <v>31</v>
      </c>
      <c r="AE81" s="6" t="s">
        <v>229</v>
      </c>
      <c r="AF81" s="6" t="s">
        <v>229</v>
      </c>
      <c r="AG81" s="6" t="s">
        <v>31</v>
      </c>
      <c r="AH81" s="6" t="s">
        <v>229</v>
      </c>
      <c r="AI81" s="6" t="s">
        <v>229</v>
      </c>
      <c r="AJ81" s="6"/>
      <c r="AK81" s="6"/>
      <c r="AL81" s="6"/>
      <c r="AM81" s="6"/>
      <c r="AN81" s="6"/>
      <c r="AO81" s="6"/>
      <c r="AP81" s="6"/>
      <c r="AQ81" s="6"/>
      <c r="AR81" s="6"/>
      <c r="AS81" s="6" t="s">
        <v>29</v>
      </c>
      <c r="AT81" s="6">
        <v>1</v>
      </c>
      <c r="AU81" s="6" t="s">
        <v>191</v>
      </c>
      <c r="AV81" s="6" t="s">
        <v>31</v>
      </c>
      <c r="AW81" s="6" t="s">
        <v>229</v>
      </c>
      <c r="AX81" s="6" t="s">
        <v>229</v>
      </c>
      <c r="AY81" s="6" t="s">
        <v>29</v>
      </c>
      <c r="AZ81" s="6">
        <v>1</v>
      </c>
      <c r="BA81" s="6" t="s">
        <v>191</v>
      </c>
      <c r="BB81" s="6" t="s">
        <v>29</v>
      </c>
      <c r="BC81" s="6">
        <v>1</v>
      </c>
      <c r="BD81" s="6" t="s">
        <v>191</v>
      </c>
      <c r="BE81" s="6">
        <v>900</v>
      </c>
      <c r="BF81" s="6">
        <f>BE81+'Farmer Demand'!K81</f>
        <v>1100</v>
      </c>
    </row>
    <row r="82" spans="1:58" s="15" customFormat="1" ht="12.75" x14ac:dyDescent="0.2">
      <c r="A82" s="6">
        <f>'Farmer Demand'!A82</f>
        <v>80</v>
      </c>
      <c r="B82" s="6" t="str">
        <f>'Farmer Demand'!B82</f>
        <v>Nainwati Marawi</v>
      </c>
      <c r="C82" s="6" t="str">
        <f>'Farmer Demand'!C82</f>
        <v>Nainwati</v>
      </c>
      <c r="D82" s="6">
        <f>'Farmer Demand'!D82</f>
        <v>0</v>
      </c>
      <c r="E82" s="6" t="str">
        <f>'Farmer Demand'!E82</f>
        <v>No</v>
      </c>
      <c r="F82" s="6" t="str">
        <f>'Farmer Demand'!F82</f>
        <v>Harra Tikur</v>
      </c>
      <c r="G82" s="6" t="str">
        <f>'Farmer Demand'!G82</f>
        <v>Om Shanti Ajeevika</v>
      </c>
      <c r="H82" s="6" t="str">
        <f>'Farmer Demand'!H82</f>
        <v>Kharif</v>
      </c>
      <c r="I82" s="6" t="s">
        <v>29</v>
      </c>
      <c r="J82" s="10" t="s">
        <v>173</v>
      </c>
      <c r="K82" s="6" t="s">
        <v>29</v>
      </c>
      <c r="L82" s="6" t="str">
        <f>'Farmer Demand'!M82</f>
        <v>120 days</v>
      </c>
      <c r="M82" s="6">
        <v>1</v>
      </c>
      <c r="N82" s="6" t="s">
        <v>191</v>
      </c>
      <c r="O82" s="6"/>
      <c r="P82" s="6"/>
      <c r="Q82" s="6"/>
      <c r="R82" s="6" t="s">
        <v>31</v>
      </c>
      <c r="S82" s="6"/>
      <c r="T82" s="6" t="s">
        <v>254</v>
      </c>
      <c r="U82" s="6" t="s">
        <v>31</v>
      </c>
      <c r="V82" s="6" t="s">
        <v>229</v>
      </c>
      <c r="W82" s="6" t="s">
        <v>229</v>
      </c>
      <c r="X82" s="6" t="s">
        <v>31</v>
      </c>
      <c r="Y82" s="6" t="s">
        <v>229</v>
      </c>
      <c r="Z82" s="6" t="s">
        <v>229</v>
      </c>
      <c r="AA82" s="6" t="s">
        <v>31</v>
      </c>
      <c r="AB82" s="6" t="s">
        <v>229</v>
      </c>
      <c r="AC82" s="6" t="s">
        <v>229</v>
      </c>
      <c r="AD82" s="6" t="s">
        <v>31</v>
      </c>
      <c r="AE82" s="6" t="s">
        <v>229</v>
      </c>
      <c r="AF82" s="6" t="s">
        <v>229</v>
      </c>
      <c r="AG82" s="6" t="s">
        <v>31</v>
      </c>
      <c r="AH82" s="6" t="s">
        <v>229</v>
      </c>
      <c r="AI82" s="6" t="s">
        <v>229</v>
      </c>
      <c r="AJ82" s="6"/>
      <c r="AK82" s="6"/>
      <c r="AL82" s="6"/>
      <c r="AM82" s="6"/>
      <c r="AN82" s="6"/>
      <c r="AO82" s="6"/>
      <c r="AP82" s="6"/>
      <c r="AQ82" s="6"/>
      <c r="AR82" s="6"/>
      <c r="AS82" s="6" t="s">
        <v>29</v>
      </c>
      <c r="AT82" s="6">
        <v>1</v>
      </c>
      <c r="AU82" s="6" t="s">
        <v>191</v>
      </c>
      <c r="AV82" s="6" t="s">
        <v>31</v>
      </c>
      <c r="AW82" s="6" t="s">
        <v>229</v>
      </c>
      <c r="AX82" s="6" t="s">
        <v>229</v>
      </c>
      <c r="AY82" s="6" t="s">
        <v>29</v>
      </c>
      <c r="AZ82" s="6">
        <v>1</v>
      </c>
      <c r="BA82" s="6" t="s">
        <v>191</v>
      </c>
      <c r="BB82" s="6" t="s">
        <v>29</v>
      </c>
      <c r="BC82" s="6">
        <v>1</v>
      </c>
      <c r="BD82" s="6" t="s">
        <v>191</v>
      </c>
      <c r="BE82" s="6">
        <v>900</v>
      </c>
      <c r="BF82" s="6">
        <f>BE82+'Farmer Demand'!K82</f>
        <v>1100</v>
      </c>
    </row>
    <row r="83" spans="1:58" s="15" customFormat="1" ht="12.75" x14ac:dyDescent="0.2">
      <c r="A83" s="6">
        <f>'Farmer Demand'!A83</f>
        <v>81</v>
      </c>
      <c r="B83" s="6" t="str">
        <f>'Farmer Demand'!B83</f>
        <v>Nainwati Marawi</v>
      </c>
      <c r="C83" s="6" t="str">
        <f>'Farmer Demand'!C83</f>
        <v>Phundiya</v>
      </c>
      <c r="D83" s="6">
        <f>'Farmer Demand'!D83</f>
        <v>0</v>
      </c>
      <c r="E83" s="6" t="str">
        <f>'Farmer Demand'!E83</f>
        <v>No</v>
      </c>
      <c r="F83" s="6" t="str">
        <f>'Farmer Demand'!F83</f>
        <v>Harra Tikur</v>
      </c>
      <c r="G83" s="6" t="str">
        <f>'Farmer Demand'!G83</f>
        <v>Om Shanti Ajeevika</v>
      </c>
      <c r="H83" s="6" t="str">
        <f>'Farmer Demand'!H83</f>
        <v>Kharif</v>
      </c>
      <c r="I83" s="6" t="s">
        <v>29</v>
      </c>
      <c r="J83" s="10" t="s">
        <v>173</v>
      </c>
      <c r="K83" s="6" t="s">
        <v>29</v>
      </c>
      <c r="L83" s="6" t="str">
        <f>'Farmer Demand'!M83</f>
        <v>120 days</v>
      </c>
      <c r="M83" s="6">
        <v>1</v>
      </c>
      <c r="N83" s="6" t="s">
        <v>191</v>
      </c>
      <c r="O83" s="6"/>
      <c r="P83" s="6"/>
      <c r="Q83" s="6"/>
      <c r="R83" s="6" t="s">
        <v>31</v>
      </c>
      <c r="S83" s="6"/>
      <c r="T83" s="6" t="s">
        <v>254</v>
      </c>
      <c r="U83" s="6" t="s">
        <v>31</v>
      </c>
      <c r="V83" s="6" t="s">
        <v>229</v>
      </c>
      <c r="W83" s="6" t="s">
        <v>229</v>
      </c>
      <c r="X83" s="6" t="s">
        <v>31</v>
      </c>
      <c r="Y83" s="6" t="s">
        <v>229</v>
      </c>
      <c r="Z83" s="6" t="s">
        <v>229</v>
      </c>
      <c r="AA83" s="6" t="s">
        <v>31</v>
      </c>
      <c r="AB83" s="6" t="s">
        <v>229</v>
      </c>
      <c r="AC83" s="6" t="s">
        <v>229</v>
      </c>
      <c r="AD83" s="6" t="s">
        <v>31</v>
      </c>
      <c r="AE83" s="6" t="s">
        <v>229</v>
      </c>
      <c r="AF83" s="6" t="s">
        <v>229</v>
      </c>
      <c r="AG83" s="6" t="s">
        <v>31</v>
      </c>
      <c r="AH83" s="6" t="s">
        <v>229</v>
      </c>
      <c r="AI83" s="6" t="s">
        <v>229</v>
      </c>
      <c r="AJ83" s="6"/>
      <c r="AK83" s="6"/>
      <c r="AL83" s="6"/>
      <c r="AM83" s="6"/>
      <c r="AN83" s="6"/>
      <c r="AO83" s="6"/>
      <c r="AP83" s="6"/>
      <c r="AQ83" s="6"/>
      <c r="AR83" s="6"/>
      <c r="AS83" s="6" t="s">
        <v>29</v>
      </c>
      <c r="AT83" s="6">
        <v>1</v>
      </c>
      <c r="AU83" s="6" t="s">
        <v>191</v>
      </c>
      <c r="AV83" s="6" t="s">
        <v>31</v>
      </c>
      <c r="AW83" s="6" t="s">
        <v>229</v>
      </c>
      <c r="AX83" s="6" t="s">
        <v>229</v>
      </c>
      <c r="AY83" s="6" t="s">
        <v>29</v>
      </c>
      <c r="AZ83" s="6">
        <v>1</v>
      </c>
      <c r="BA83" s="6" t="s">
        <v>191</v>
      </c>
      <c r="BB83" s="6" t="s">
        <v>29</v>
      </c>
      <c r="BC83" s="6">
        <v>1</v>
      </c>
      <c r="BD83" s="6" t="s">
        <v>191</v>
      </c>
      <c r="BE83" s="6">
        <v>900</v>
      </c>
      <c r="BF83" s="6">
        <f>BE83+'Farmer Demand'!K83</f>
        <v>1100</v>
      </c>
    </row>
    <row r="84" spans="1:58" s="15" customFormat="1" ht="12.75" x14ac:dyDescent="0.2">
      <c r="A84" s="6">
        <f>'Farmer Demand'!A84</f>
        <v>82</v>
      </c>
      <c r="B84" s="6" t="str">
        <f>'Farmer Demand'!B84</f>
        <v>Nainwati Marawi</v>
      </c>
      <c r="C84" s="6" t="str">
        <f>'Farmer Demand'!C84</f>
        <v>Suhaga</v>
      </c>
      <c r="D84" s="6">
        <f>'Farmer Demand'!D84</f>
        <v>0</v>
      </c>
      <c r="E84" s="6" t="str">
        <f>'Farmer Demand'!E84</f>
        <v>No</v>
      </c>
      <c r="F84" s="6" t="str">
        <f>'Farmer Demand'!F84</f>
        <v>Harra Tikur</v>
      </c>
      <c r="G84" s="6" t="str">
        <f>'Farmer Demand'!G84</f>
        <v>Om Shanti Ajeevika</v>
      </c>
      <c r="H84" s="6" t="str">
        <f>'Farmer Demand'!H84</f>
        <v>Kharif</v>
      </c>
      <c r="I84" s="6" t="s">
        <v>29</v>
      </c>
      <c r="J84" s="10" t="s">
        <v>173</v>
      </c>
      <c r="K84" s="6" t="s">
        <v>29</v>
      </c>
      <c r="L84" s="6" t="str">
        <f>'Farmer Demand'!M84</f>
        <v>120 days</v>
      </c>
      <c r="M84" s="6">
        <v>1</v>
      </c>
      <c r="N84" s="6" t="s">
        <v>191</v>
      </c>
      <c r="O84" s="6"/>
      <c r="P84" s="6"/>
      <c r="Q84" s="6"/>
      <c r="R84" s="6" t="s">
        <v>31</v>
      </c>
      <c r="S84" s="6"/>
      <c r="T84" s="6" t="s">
        <v>254</v>
      </c>
      <c r="U84" s="6" t="s">
        <v>31</v>
      </c>
      <c r="V84" s="6" t="s">
        <v>229</v>
      </c>
      <c r="W84" s="6" t="s">
        <v>229</v>
      </c>
      <c r="X84" s="6" t="s">
        <v>31</v>
      </c>
      <c r="Y84" s="6" t="s">
        <v>229</v>
      </c>
      <c r="Z84" s="6" t="s">
        <v>229</v>
      </c>
      <c r="AA84" s="6" t="s">
        <v>31</v>
      </c>
      <c r="AB84" s="6" t="s">
        <v>229</v>
      </c>
      <c r="AC84" s="6" t="s">
        <v>229</v>
      </c>
      <c r="AD84" s="6" t="s">
        <v>31</v>
      </c>
      <c r="AE84" s="6" t="s">
        <v>229</v>
      </c>
      <c r="AF84" s="6" t="s">
        <v>229</v>
      </c>
      <c r="AG84" s="6" t="s">
        <v>31</v>
      </c>
      <c r="AH84" s="6" t="s">
        <v>229</v>
      </c>
      <c r="AI84" s="6" t="s">
        <v>229</v>
      </c>
      <c r="AJ84" s="6"/>
      <c r="AK84" s="6"/>
      <c r="AL84" s="6"/>
      <c r="AM84" s="6"/>
      <c r="AN84" s="6"/>
      <c r="AO84" s="6"/>
      <c r="AP84" s="6"/>
      <c r="AQ84" s="6"/>
      <c r="AR84" s="6"/>
      <c r="AS84" s="6" t="s">
        <v>29</v>
      </c>
      <c r="AT84" s="6">
        <v>1</v>
      </c>
      <c r="AU84" s="6" t="s">
        <v>191</v>
      </c>
      <c r="AV84" s="6" t="s">
        <v>31</v>
      </c>
      <c r="AW84" s="6" t="s">
        <v>229</v>
      </c>
      <c r="AX84" s="6" t="s">
        <v>229</v>
      </c>
      <c r="AY84" s="6" t="s">
        <v>29</v>
      </c>
      <c r="AZ84" s="6">
        <v>1</v>
      </c>
      <c r="BA84" s="6" t="s">
        <v>191</v>
      </c>
      <c r="BB84" s="6" t="s">
        <v>29</v>
      </c>
      <c r="BC84" s="6">
        <v>1</v>
      </c>
      <c r="BD84" s="6" t="s">
        <v>191</v>
      </c>
      <c r="BE84" s="6">
        <v>900</v>
      </c>
      <c r="BF84" s="6">
        <f>BE84+'Farmer Demand'!K84</f>
        <v>1100</v>
      </c>
    </row>
    <row r="85" spans="1:58" s="15" customFormat="1" ht="12.75" x14ac:dyDescent="0.2">
      <c r="A85" s="6">
        <f>'Farmer Demand'!A85</f>
        <v>83</v>
      </c>
      <c r="B85" s="6" t="str">
        <f>'Farmer Demand'!B85</f>
        <v>Nainwati Marawi</v>
      </c>
      <c r="C85" s="6" t="str">
        <f>'Farmer Demand'!C85</f>
        <v>Suhana</v>
      </c>
      <c r="D85" s="6">
        <f>'Farmer Demand'!D85</f>
        <v>0</v>
      </c>
      <c r="E85" s="6" t="str">
        <f>'Farmer Demand'!E85</f>
        <v>No</v>
      </c>
      <c r="F85" s="6" t="str">
        <f>'Farmer Demand'!F85</f>
        <v>Harra Tikur</v>
      </c>
      <c r="G85" s="6" t="str">
        <f>'Farmer Demand'!G85</f>
        <v>Om Shanti Ajeevika</v>
      </c>
      <c r="H85" s="6" t="str">
        <f>'Farmer Demand'!H85</f>
        <v>Kharif</v>
      </c>
      <c r="I85" s="6" t="s">
        <v>29</v>
      </c>
      <c r="J85" s="10" t="s">
        <v>173</v>
      </c>
      <c r="K85" s="6" t="s">
        <v>29</v>
      </c>
      <c r="L85" s="6" t="str">
        <f>'Farmer Demand'!M85</f>
        <v>120 days</v>
      </c>
      <c r="M85" s="6">
        <v>1</v>
      </c>
      <c r="N85" s="6" t="s">
        <v>191</v>
      </c>
      <c r="O85" s="6"/>
      <c r="P85" s="6"/>
      <c r="Q85" s="6"/>
      <c r="R85" s="6" t="s">
        <v>31</v>
      </c>
      <c r="S85" s="6"/>
      <c r="T85" s="6" t="s">
        <v>254</v>
      </c>
      <c r="U85" s="6" t="s">
        <v>31</v>
      </c>
      <c r="V85" s="6" t="s">
        <v>229</v>
      </c>
      <c r="W85" s="6" t="s">
        <v>229</v>
      </c>
      <c r="X85" s="6" t="s">
        <v>31</v>
      </c>
      <c r="Y85" s="6" t="s">
        <v>229</v>
      </c>
      <c r="Z85" s="6" t="s">
        <v>229</v>
      </c>
      <c r="AA85" s="6" t="s">
        <v>31</v>
      </c>
      <c r="AB85" s="6" t="s">
        <v>229</v>
      </c>
      <c r="AC85" s="6" t="s">
        <v>229</v>
      </c>
      <c r="AD85" s="6" t="s">
        <v>31</v>
      </c>
      <c r="AE85" s="6" t="s">
        <v>229</v>
      </c>
      <c r="AF85" s="6" t="s">
        <v>229</v>
      </c>
      <c r="AG85" s="6" t="s">
        <v>31</v>
      </c>
      <c r="AH85" s="6" t="s">
        <v>229</v>
      </c>
      <c r="AI85" s="6" t="s">
        <v>229</v>
      </c>
      <c r="AJ85" s="6"/>
      <c r="AK85" s="6"/>
      <c r="AL85" s="6"/>
      <c r="AM85" s="6"/>
      <c r="AN85" s="6"/>
      <c r="AO85" s="6"/>
      <c r="AP85" s="6"/>
      <c r="AQ85" s="6"/>
      <c r="AR85" s="6"/>
      <c r="AS85" s="6" t="s">
        <v>29</v>
      </c>
      <c r="AT85" s="6">
        <v>1</v>
      </c>
      <c r="AU85" s="6" t="s">
        <v>191</v>
      </c>
      <c r="AV85" s="6" t="s">
        <v>31</v>
      </c>
      <c r="AW85" s="6" t="s">
        <v>229</v>
      </c>
      <c r="AX85" s="6" t="s">
        <v>229</v>
      </c>
      <c r="AY85" s="6" t="s">
        <v>29</v>
      </c>
      <c r="AZ85" s="6">
        <v>1</v>
      </c>
      <c r="BA85" s="6" t="s">
        <v>191</v>
      </c>
      <c r="BB85" s="6" t="s">
        <v>29</v>
      </c>
      <c r="BC85" s="6">
        <v>1</v>
      </c>
      <c r="BD85" s="6" t="s">
        <v>191</v>
      </c>
      <c r="BE85" s="6">
        <v>900</v>
      </c>
      <c r="BF85" s="6">
        <f>BE85+'Farmer Demand'!K85</f>
        <v>1100</v>
      </c>
    </row>
    <row r="86" spans="1:58" s="15" customFormat="1" ht="12.75" x14ac:dyDescent="0.2">
      <c r="A86" s="6">
        <f>'Farmer Demand'!A86</f>
        <v>84</v>
      </c>
      <c r="B86" s="6" t="str">
        <f>'Farmer Demand'!B86</f>
        <v>Nainwati Marawi</v>
      </c>
      <c r="C86" s="6" t="str">
        <f>'Farmer Demand'!C86</f>
        <v>Sumantri</v>
      </c>
      <c r="D86" s="6">
        <f>'Farmer Demand'!D86</f>
        <v>0</v>
      </c>
      <c r="E86" s="6" t="str">
        <f>'Farmer Demand'!E86</f>
        <v>No</v>
      </c>
      <c r="F86" s="6" t="str">
        <f>'Farmer Demand'!F86</f>
        <v>Harra Tikur</v>
      </c>
      <c r="G86" s="6" t="str">
        <f>'Farmer Demand'!G86</f>
        <v>Om Shanti Ajeevika</v>
      </c>
      <c r="H86" s="6" t="str">
        <f>'Farmer Demand'!H86</f>
        <v>Kharif</v>
      </c>
      <c r="I86" s="6" t="s">
        <v>29</v>
      </c>
      <c r="J86" s="10" t="s">
        <v>173</v>
      </c>
      <c r="K86" s="6" t="s">
        <v>29</v>
      </c>
      <c r="L86" s="6" t="str">
        <f>'Farmer Demand'!M86</f>
        <v>120 days</v>
      </c>
      <c r="M86" s="6">
        <v>1</v>
      </c>
      <c r="N86" s="6" t="s">
        <v>191</v>
      </c>
      <c r="O86" s="6"/>
      <c r="P86" s="6"/>
      <c r="Q86" s="6"/>
      <c r="R86" s="6" t="s">
        <v>31</v>
      </c>
      <c r="S86" s="6"/>
      <c r="T86" s="6" t="s">
        <v>254</v>
      </c>
      <c r="U86" s="6" t="s">
        <v>31</v>
      </c>
      <c r="V86" s="6" t="s">
        <v>229</v>
      </c>
      <c r="W86" s="6" t="s">
        <v>229</v>
      </c>
      <c r="X86" s="6" t="s">
        <v>31</v>
      </c>
      <c r="Y86" s="6" t="s">
        <v>229</v>
      </c>
      <c r="Z86" s="6" t="s">
        <v>229</v>
      </c>
      <c r="AA86" s="6" t="s">
        <v>31</v>
      </c>
      <c r="AB86" s="6" t="s">
        <v>229</v>
      </c>
      <c r="AC86" s="6" t="s">
        <v>229</v>
      </c>
      <c r="AD86" s="6" t="s">
        <v>31</v>
      </c>
      <c r="AE86" s="6" t="s">
        <v>229</v>
      </c>
      <c r="AF86" s="6" t="s">
        <v>229</v>
      </c>
      <c r="AG86" s="6" t="s">
        <v>31</v>
      </c>
      <c r="AH86" s="6" t="s">
        <v>229</v>
      </c>
      <c r="AI86" s="6" t="s">
        <v>229</v>
      </c>
      <c r="AJ86" s="6"/>
      <c r="AK86" s="6"/>
      <c r="AL86" s="6"/>
      <c r="AM86" s="6"/>
      <c r="AN86" s="6"/>
      <c r="AO86" s="6"/>
      <c r="AP86" s="6"/>
      <c r="AQ86" s="6"/>
      <c r="AR86" s="6"/>
      <c r="AS86" s="6" t="s">
        <v>29</v>
      </c>
      <c r="AT86" s="6">
        <v>1</v>
      </c>
      <c r="AU86" s="6" t="s">
        <v>191</v>
      </c>
      <c r="AV86" s="6" t="s">
        <v>31</v>
      </c>
      <c r="AW86" s="6" t="s">
        <v>229</v>
      </c>
      <c r="AX86" s="6" t="s">
        <v>229</v>
      </c>
      <c r="AY86" s="6" t="s">
        <v>29</v>
      </c>
      <c r="AZ86" s="6">
        <v>1</v>
      </c>
      <c r="BA86" s="6" t="s">
        <v>191</v>
      </c>
      <c r="BB86" s="6" t="s">
        <v>29</v>
      </c>
      <c r="BC86" s="6">
        <v>1</v>
      </c>
      <c r="BD86" s="6" t="s">
        <v>191</v>
      </c>
      <c r="BE86" s="6">
        <v>900</v>
      </c>
      <c r="BF86" s="6">
        <f>BE86+'Farmer Demand'!K86</f>
        <v>1100</v>
      </c>
    </row>
    <row r="87" spans="1:58" s="15" customFormat="1" ht="12.75" x14ac:dyDescent="0.2">
      <c r="A87" s="6">
        <f>'Farmer Demand'!A87</f>
        <v>85</v>
      </c>
      <c r="B87" s="6" t="str">
        <f>'Farmer Demand'!B87</f>
        <v>Nainwati Marawi</v>
      </c>
      <c r="C87" s="6" t="str">
        <f>'Farmer Demand'!C87</f>
        <v>Usha Tekam</v>
      </c>
      <c r="D87" s="6">
        <f>'Farmer Demand'!D87</f>
        <v>0</v>
      </c>
      <c r="E87" s="6" t="str">
        <f>'Farmer Demand'!E87</f>
        <v>No</v>
      </c>
      <c r="F87" s="6" t="str">
        <f>'Farmer Demand'!F87</f>
        <v>Harra Tikur</v>
      </c>
      <c r="G87" s="6" t="str">
        <f>'Farmer Demand'!G87</f>
        <v>Om Shanti Ajeevika</v>
      </c>
      <c r="H87" s="6" t="str">
        <f>'Farmer Demand'!H87</f>
        <v>Kharif</v>
      </c>
      <c r="I87" s="6" t="s">
        <v>29</v>
      </c>
      <c r="J87" s="10" t="s">
        <v>173</v>
      </c>
      <c r="K87" s="6" t="s">
        <v>29</v>
      </c>
      <c r="L87" s="6" t="str">
        <f>'Farmer Demand'!M87</f>
        <v>120 days</v>
      </c>
      <c r="M87" s="6">
        <v>1</v>
      </c>
      <c r="N87" s="6" t="s">
        <v>191</v>
      </c>
      <c r="O87" s="6"/>
      <c r="P87" s="6"/>
      <c r="Q87" s="6"/>
      <c r="R87" s="6" t="s">
        <v>31</v>
      </c>
      <c r="S87" s="6"/>
      <c r="T87" s="6" t="s">
        <v>254</v>
      </c>
      <c r="U87" s="6" t="s">
        <v>31</v>
      </c>
      <c r="V87" s="6" t="s">
        <v>229</v>
      </c>
      <c r="W87" s="6" t="s">
        <v>229</v>
      </c>
      <c r="X87" s="6" t="s">
        <v>31</v>
      </c>
      <c r="Y87" s="6" t="s">
        <v>229</v>
      </c>
      <c r="Z87" s="6" t="s">
        <v>229</v>
      </c>
      <c r="AA87" s="6" t="s">
        <v>31</v>
      </c>
      <c r="AB87" s="6" t="s">
        <v>229</v>
      </c>
      <c r="AC87" s="6" t="s">
        <v>229</v>
      </c>
      <c r="AD87" s="6" t="s">
        <v>31</v>
      </c>
      <c r="AE87" s="6" t="s">
        <v>229</v>
      </c>
      <c r="AF87" s="6" t="s">
        <v>229</v>
      </c>
      <c r="AG87" s="6" t="s">
        <v>31</v>
      </c>
      <c r="AH87" s="6" t="s">
        <v>229</v>
      </c>
      <c r="AI87" s="6" t="s">
        <v>229</v>
      </c>
      <c r="AJ87" s="6"/>
      <c r="AK87" s="6"/>
      <c r="AL87" s="6"/>
      <c r="AM87" s="6"/>
      <c r="AN87" s="6"/>
      <c r="AO87" s="6"/>
      <c r="AP87" s="6"/>
      <c r="AQ87" s="6"/>
      <c r="AR87" s="6"/>
      <c r="AS87" s="6" t="s">
        <v>29</v>
      </c>
      <c r="AT87" s="6">
        <v>1</v>
      </c>
      <c r="AU87" s="6" t="s">
        <v>191</v>
      </c>
      <c r="AV87" s="6" t="s">
        <v>31</v>
      </c>
      <c r="AW87" s="6" t="s">
        <v>229</v>
      </c>
      <c r="AX87" s="6" t="s">
        <v>229</v>
      </c>
      <c r="AY87" s="6" t="s">
        <v>29</v>
      </c>
      <c r="AZ87" s="6">
        <v>1</v>
      </c>
      <c r="BA87" s="6" t="s">
        <v>191</v>
      </c>
      <c r="BB87" s="6" t="s">
        <v>29</v>
      </c>
      <c r="BC87" s="6">
        <v>1</v>
      </c>
      <c r="BD87" s="6" t="s">
        <v>191</v>
      </c>
      <c r="BE87" s="6">
        <v>900</v>
      </c>
      <c r="BF87" s="6">
        <f>BE87+'Farmer Demand'!K87</f>
        <v>1100</v>
      </c>
    </row>
    <row r="88" spans="1:58" s="15" customFormat="1" ht="12.75" x14ac:dyDescent="0.2"/>
    <row r="89" spans="1:58" s="15" customFormat="1" ht="12.75" x14ac:dyDescent="0.2"/>
    <row r="90" spans="1:58" s="15" customFormat="1" ht="12.75" x14ac:dyDescent="0.2"/>
    <row r="91" spans="1:58" s="15" customFormat="1" ht="12.75" x14ac:dyDescent="0.2"/>
    <row r="92" spans="1:58" s="15" customFormat="1" ht="12.75" x14ac:dyDescent="0.2"/>
    <row r="93" spans="1:58" s="15" customFormat="1" ht="12.75" x14ac:dyDescent="0.2"/>
    <row r="94" spans="1:58" s="15" customFormat="1" ht="12.75" x14ac:dyDescent="0.2"/>
    <row r="95" spans="1:58" s="15" customFormat="1" ht="12.75" x14ac:dyDescent="0.2"/>
    <row r="96" spans="1:58" s="15" customFormat="1" ht="12.75" x14ac:dyDescent="0.2"/>
    <row r="97" s="15" customFormat="1" ht="12.75" x14ac:dyDescent="0.2"/>
    <row r="98" s="15" customFormat="1" ht="12.75" x14ac:dyDescent="0.2"/>
    <row r="99" s="15" customFormat="1" ht="12.75" x14ac:dyDescent="0.2"/>
    <row r="100" s="15" customFormat="1" ht="12.75" x14ac:dyDescent="0.2"/>
    <row r="101" s="15" customFormat="1" ht="12.75" x14ac:dyDescent="0.2"/>
    <row r="102" s="15" customFormat="1" ht="12.75" x14ac:dyDescent="0.2"/>
    <row r="103" s="15" customFormat="1" ht="12.75" x14ac:dyDescent="0.2"/>
    <row r="104" s="15" customFormat="1" ht="12.75" x14ac:dyDescent="0.2"/>
    <row r="105" s="15" customFormat="1" ht="12.75" x14ac:dyDescent="0.2"/>
    <row r="106" s="15" customFormat="1" ht="12.75" x14ac:dyDescent="0.2"/>
    <row r="107" s="15" customFormat="1" ht="12.75" x14ac:dyDescent="0.2"/>
    <row r="108" s="15" customFormat="1" ht="12.75" x14ac:dyDescent="0.2"/>
    <row r="109" s="15" customFormat="1" ht="12.75" x14ac:dyDescent="0.2"/>
    <row r="110" s="15" customFormat="1" ht="12.75" x14ac:dyDescent="0.2"/>
    <row r="111" s="15" customFormat="1" ht="12.75" x14ac:dyDescent="0.2"/>
    <row r="112" s="15" customFormat="1" ht="12.75" x14ac:dyDescent="0.2"/>
    <row r="113" s="15" customFormat="1" ht="12.75" x14ac:dyDescent="0.2"/>
    <row r="114" s="15" customFormat="1" ht="12.75" x14ac:dyDescent="0.2"/>
    <row r="115" s="15" customFormat="1" ht="12.75" x14ac:dyDescent="0.2"/>
    <row r="116" s="15" customFormat="1" ht="12.75" x14ac:dyDescent="0.2"/>
    <row r="117" s="15" customFormat="1" ht="12.75" x14ac:dyDescent="0.2"/>
    <row r="118" s="15" customFormat="1" ht="12.75" x14ac:dyDescent="0.2"/>
    <row r="119" s="15" customFormat="1" ht="12.75" x14ac:dyDescent="0.2"/>
    <row r="120" s="15" customFormat="1" ht="12.75" x14ac:dyDescent="0.2"/>
    <row r="121" s="15" customFormat="1" ht="12.75" x14ac:dyDescent="0.2"/>
    <row r="122" s="15" customFormat="1" ht="12.75" x14ac:dyDescent="0.2"/>
    <row r="123" s="15" customFormat="1" ht="12.75" x14ac:dyDescent="0.2"/>
    <row r="124" s="15" customFormat="1" ht="12.75" x14ac:dyDescent="0.2"/>
    <row r="125" s="15" customFormat="1" ht="12.75" x14ac:dyDescent="0.2"/>
    <row r="126" s="15" customFormat="1" ht="12.75" x14ac:dyDescent="0.2"/>
    <row r="127" s="15" customFormat="1" ht="12.75" x14ac:dyDescent="0.2"/>
    <row r="128" s="15" customFormat="1" ht="12.75" x14ac:dyDescent="0.2"/>
    <row r="129" s="15" customFormat="1" ht="12.75" x14ac:dyDescent="0.2"/>
    <row r="130" s="15" customFormat="1" ht="12.75" x14ac:dyDescent="0.2"/>
    <row r="131" s="15" customFormat="1" ht="12.75" x14ac:dyDescent="0.2"/>
    <row r="132" s="15" customFormat="1" ht="12.75" x14ac:dyDescent="0.2"/>
    <row r="133" s="15" customFormat="1" ht="12.75" x14ac:dyDescent="0.2"/>
    <row r="134" s="15" customFormat="1" ht="12.75" x14ac:dyDescent="0.2"/>
    <row r="135" s="15" customFormat="1" ht="12.75" x14ac:dyDescent="0.2"/>
    <row r="136" s="15" customFormat="1" ht="12.75" x14ac:dyDescent="0.2"/>
    <row r="137" s="15" customFormat="1" ht="12.75" x14ac:dyDescent="0.2"/>
    <row r="138" s="15" customFormat="1" ht="12.75" x14ac:dyDescent="0.2"/>
    <row r="139" s="15" customFormat="1" ht="12.75" x14ac:dyDescent="0.2"/>
    <row r="140" s="15" customFormat="1" ht="12.75" x14ac:dyDescent="0.2"/>
    <row r="141" s="15" customFormat="1" ht="12.75" x14ac:dyDescent="0.2"/>
    <row r="142" s="15" customFormat="1" ht="12.75" x14ac:dyDescent="0.2"/>
    <row r="143" s="15" customFormat="1" ht="12.75" x14ac:dyDescent="0.2"/>
    <row r="144" s="15" customFormat="1" ht="12.75" x14ac:dyDescent="0.2"/>
    <row r="145" s="15" customFormat="1" ht="12.75" x14ac:dyDescent="0.2"/>
    <row r="146" s="15" customFormat="1" ht="12.75" x14ac:dyDescent="0.2"/>
    <row r="147" s="15" customFormat="1" ht="12.75" x14ac:dyDescent="0.2"/>
    <row r="148" s="15" customFormat="1" ht="12.75" x14ac:dyDescent="0.2"/>
    <row r="149" s="15" customFormat="1" ht="12.75" x14ac:dyDescent="0.2"/>
    <row r="150" s="15" customFormat="1" ht="12.75" x14ac:dyDescent="0.2"/>
    <row r="151" s="15" customFormat="1" ht="12.75" x14ac:dyDescent="0.2"/>
    <row r="152" s="15" customFormat="1" ht="12.75" x14ac:dyDescent="0.2"/>
    <row r="153" s="15" customFormat="1" ht="12.75" x14ac:dyDescent="0.2"/>
    <row r="154" s="15" customFormat="1" ht="12.75" x14ac:dyDescent="0.2"/>
    <row r="155" s="15" customFormat="1" ht="12.75" x14ac:dyDescent="0.2"/>
    <row r="156" s="15" customFormat="1" ht="12.75" x14ac:dyDescent="0.2"/>
    <row r="157" s="15" customFormat="1" ht="12.75" x14ac:dyDescent="0.2"/>
    <row r="158" s="15" customFormat="1" ht="12.75" x14ac:dyDescent="0.2"/>
    <row r="159" s="15" customFormat="1" ht="12.75" x14ac:dyDescent="0.2"/>
    <row r="160" s="15" customFormat="1" ht="12.75" x14ac:dyDescent="0.2"/>
    <row r="161" s="15" customFormat="1" ht="12.75" x14ac:dyDescent="0.2"/>
    <row r="162" s="15" customFormat="1" ht="12.75" x14ac:dyDescent="0.2"/>
    <row r="163" s="15" customFormat="1" ht="12.75" x14ac:dyDescent="0.2"/>
    <row r="164" s="15" customFormat="1" ht="12.75" x14ac:dyDescent="0.2"/>
    <row r="165" s="15" customFormat="1" ht="12.75" x14ac:dyDescent="0.2"/>
    <row r="166" s="15" customFormat="1" ht="12.75" x14ac:dyDescent="0.2"/>
    <row r="167" s="15" customFormat="1" ht="12.75" x14ac:dyDescent="0.2"/>
    <row r="168" s="15" customFormat="1" ht="12.75" x14ac:dyDescent="0.2"/>
    <row r="169" s="15" customFormat="1" ht="12.75" x14ac:dyDescent="0.2"/>
    <row r="170" s="15" customFormat="1" ht="12.75" x14ac:dyDescent="0.2"/>
    <row r="171" s="15" customFormat="1" ht="12.75" x14ac:dyDescent="0.2"/>
    <row r="172" s="15" customFormat="1" ht="12.75" x14ac:dyDescent="0.2"/>
    <row r="173" s="15" customFormat="1" ht="12.75" x14ac:dyDescent="0.2"/>
    <row r="174" s="15" customFormat="1" ht="12.75" x14ac:dyDescent="0.2"/>
    <row r="175" s="15" customFormat="1" ht="12.75" x14ac:dyDescent="0.2"/>
  </sheetData>
  <autoFilter ref="A2:BF87" xr:uid="{F2DB60E8-E24C-4179-9701-4057FCE18F97}"/>
  <mergeCells count="1">
    <mergeCell ref="A1:I1"/>
  </mergeCells>
  <conditionalFormatting sqref="E3">
    <cfRule type="containsText" dxfId="45" priority="199" operator="containsText" text="No">
      <formula>NOT(ISERROR(SEARCH("No",E3)))</formula>
    </cfRule>
  </conditionalFormatting>
  <conditionalFormatting sqref="E3:E87">
    <cfRule type="containsText" dxfId="44" priority="228" operator="containsText" text="Yes">
      <formula>NOT(ISERROR(SEARCH("Yes",E3)))</formula>
    </cfRule>
  </conditionalFormatting>
  <conditionalFormatting sqref="E24:E29">
    <cfRule type="containsText" dxfId="43" priority="196" operator="containsText" text="No">
      <formula>NOT(ISERROR(SEARCH("No",E24)))</formula>
    </cfRule>
  </conditionalFormatting>
  <conditionalFormatting sqref="E33:E43">
    <cfRule type="containsText" dxfId="42" priority="195" operator="containsText" text="No">
      <formula>NOT(ISERROR(SEARCH("No",E33)))</formula>
    </cfRule>
  </conditionalFormatting>
  <conditionalFormatting sqref="E45">
    <cfRule type="containsText" dxfId="41" priority="194" operator="containsText" text="No">
      <formula>NOT(ISERROR(SEARCH("No",E45)))</formula>
    </cfRule>
  </conditionalFormatting>
  <conditionalFormatting sqref="E48:E87">
    <cfRule type="containsText" dxfId="40" priority="193" operator="containsText" text="No">
      <formula>NOT(ISERROR(SEARCH("No",E48)))</formula>
    </cfRule>
  </conditionalFormatting>
  <conditionalFormatting sqref="I3:I87">
    <cfRule type="containsText" dxfId="39" priority="230" operator="containsText" text="Yes">
      <formula>NOT(ISERROR(SEARCH("Yes",I3)))</formula>
    </cfRule>
    <cfRule type="containsText" dxfId="38" priority="229" operator="containsText" text="No">
      <formula>NOT(ISERROR(SEARCH("No",I3)))</formula>
    </cfRule>
  </conditionalFormatting>
  <conditionalFormatting sqref="K3:K87">
    <cfRule type="containsText" dxfId="37" priority="226" operator="containsText" text="No">
      <formula>NOT(ISERROR(SEARCH("No",K3)))</formula>
    </cfRule>
    <cfRule type="containsText" dxfId="36" priority="227" operator="containsText" text="Yes">
      <formula>NOT(ISERROR(SEARCH("Yes",K3)))</formula>
    </cfRule>
  </conditionalFormatting>
  <conditionalFormatting sqref="O3:O87">
    <cfRule type="containsText" dxfId="35" priority="225" operator="containsText" text="Yes">
      <formula>NOT(ISERROR(SEARCH("Yes",O3)))</formula>
    </cfRule>
    <cfRule type="containsText" dxfId="34" priority="224" operator="containsText" text="No">
      <formula>NOT(ISERROR(SEARCH("No",O3)))</formula>
    </cfRule>
  </conditionalFormatting>
  <conditionalFormatting sqref="R3:R87">
    <cfRule type="containsText" dxfId="33" priority="184" operator="containsText" text="Yes">
      <formula>NOT(ISERROR(SEARCH("Yes",R3)))</formula>
    </cfRule>
    <cfRule type="containsText" dxfId="32" priority="183" operator="containsText" text="No">
      <formula>NOT(ISERROR(SEARCH("No",R3)))</formula>
    </cfRule>
  </conditionalFormatting>
  <conditionalFormatting sqref="U3:U18">
    <cfRule type="containsText" dxfId="31" priority="56" operator="containsText" text="Yes">
      <formula>NOT(ISERROR(SEARCH("Yes",U3)))</formula>
    </cfRule>
    <cfRule type="containsText" dxfId="30" priority="55" operator="containsText" text="No">
      <formula>NOT(ISERROR(SEARCH("No",U3)))</formula>
    </cfRule>
  </conditionalFormatting>
  <conditionalFormatting sqref="U24:U34 U43:U49 U58:U87">
    <cfRule type="containsText" dxfId="29" priority="43" operator="containsText" text="No">
      <formula>NOT(ISERROR(SEARCH("No",U24)))</formula>
    </cfRule>
    <cfRule type="containsText" dxfId="28" priority="44" operator="containsText" text="Yes">
      <formula>NOT(ISERROR(SEARCH("Yes",U24)))</formula>
    </cfRule>
  </conditionalFormatting>
  <conditionalFormatting sqref="X3:X49">
    <cfRule type="containsText" dxfId="27" priority="37" operator="containsText" text="No">
      <formula>NOT(ISERROR(SEARCH("No",X3)))</formula>
    </cfRule>
    <cfRule type="containsText" dxfId="26" priority="38" operator="containsText" text="Yes">
      <formula>NOT(ISERROR(SEARCH("Yes",X3)))</formula>
    </cfRule>
  </conditionalFormatting>
  <conditionalFormatting sqref="X58:X87">
    <cfRule type="containsText" dxfId="25" priority="47" operator="containsText" text="No">
      <formula>NOT(ISERROR(SEARCH("No",X58)))</formula>
    </cfRule>
    <cfRule type="containsText" dxfId="24" priority="48" operator="containsText" text="Yes">
      <formula>NOT(ISERROR(SEARCH("Yes",X58)))</formula>
    </cfRule>
  </conditionalFormatting>
  <conditionalFormatting sqref="AA3:AA49">
    <cfRule type="containsText" dxfId="23" priority="35" operator="containsText" text="No">
      <formula>NOT(ISERROR(SEARCH("No",AA3)))</formula>
    </cfRule>
    <cfRule type="containsText" dxfId="22" priority="36" operator="containsText" text="Yes">
      <formula>NOT(ISERROR(SEARCH("Yes",AA3)))</formula>
    </cfRule>
  </conditionalFormatting>
  <conditionalFormatting sqref="AA58:AA87">
    <cfRule type="containsText" dxfId="21" priority="41" operator="containsText" text="No">
      <formula>NOT(ISERROR(SEARCH("No",AA58)))</formula>
    </cfRule>
    <cfRule type="containsText" dxfId="20" priority="42" operator="containsText" text="Yes">
      <formula>NOT(ISERROR(SEARCH("Yes",AA58)))</formula>
    </cfRule>
  </conditionalFormatting>
  <conditionalFormatting sqref="AD3:AD49 AD58:AD87">
    <cfRule type="containsText" dxfId="19" priority="39" operator="containsText" text="No">
      <formula>NOT(ISERROR(SEARCH("No",AD3)))</formula>
    </cfRule>
    <cfRule type="containsText" dxfId="18" priority="40" operator="containsText" text="Yes">
      <formula>NOT(ISERROR(SEARCH("Yes",AD3)))</formula>
    </cfRule>
  </conditionalFormatting>
  <conditionalFormatting sqref="AG3:AG18">
    <cfRule type="containsText" dxfId="17" priority="49" operator="containsText" text="No">
      <formula>NOT(ISERROR(SEARCH("No",AG3)))</formula>
    </cfRule>
    <cfRule type="containsText" dxfId="16" priority="50" operator="containsText" text="Yes">
      <formula>NOT(ISERROR(SEARCH("Yes",AG3)))</formula>
    </cfRule>
  </conditionalFormatting>
  <conditionalFormatting sqref="AG24:AG34 AG43:AG49 AG58:AG87">
    <cfRule type="containsText" dxfId="15" priority="46" operator="containsText" text="Yes">
      <formula>NOT(ISERROR(SEARCH("Yes",AG24)))</formula>
    </cfRule>
    <cfRule type="containsText" dxfId="14" priority="45" operator="containsText" text="No">
      <formula>NOT(ISERROR(SEARCH("No",AG24)))</formula>
    </cfRule>
  </conditionalFormatting>
  <conditionalFormatting sqref="AJ3:AJ87">
    <cfRule type="containsText" dxfId="13" priority="210" operator="containsText" text="No">
      <formula>NOT(ISERROR(SEARCH("No",AJ3)))</formula>
    </cfRule>
    <cfRule type="containsText" dxfId="12" priority="211" operator="containsText" text="Yes">
      <formula>NOT(ISERROR(SEARCH("Yes",AJ3)))</formula>
    </cfRule>
  </conditionalFormatting>
  <conditionalFormatting sqref="AM3:AM87">
    <cfRule type="containsText" dxfId="11" priority="209" operator="containsText" text="Yes">
      <formula>NOT(ISERROR(SEARCH("Yes",AM3)))</formula>
    </cfRule>
    <cfRule type="containsText" dxfId="10" priority="208" operator="containsText" text="No">
      <formula>NOT(ISERROR(SEARCH("No",AM3)))</formula>
    </cfRule>
  </conditionalFormatting>
  <conditionalFormatting sqref="AP3:AP87">
    <cfRule type="containsText" dxfId="9" priority="206" operator="containsText" text="No">
      <formula>NOT(ISERROR(SEARCH("No",AP3)))</formula>
    </cfRule>
    <cfRule type="containsText" dxfId="8" priority="207" operator="containsText" text="Yes">
      <formula>NOT(ISERROR(SEARCH("Yes",AP3)))</formula>
    </cfRule>
  </conditionalFormatting>
  <conditionalFormatting sqref="AS3:AS87">
    <cfRule type="containsText" dxfId="7" priority="12" operator="containsText" text="Yes">
      <formula>NOT(ISERROR(SEARCH("Yes",AS3)))</formula>
    </cfRule>
    <cfRule type="containsText" dxfId="6" priority="11" operator="containsText" text="No">
      <formula>NOT(ISERROR(SEARCH("No",AS3)))</formula>
    </cfRule>
  </conditionalFormatting>
  <conditionalFormatting sqref="AV3:AV87">
    <cfRule type="containsText" dxfId="5" priority="2" operator="containsText" text="Yes">
      <formula>NOT(ISERROR(SEARCH("Yes",AV3)))</formula>
    </cfRule>
    <cfRule type="containsText" dxfId="4" priority="1" operator="containsText" text="No">
      <formula>NOT(ISERROR(SEARCH("No",AV3)))</formula>
    </cfRule>
  </conditionalFormatting>
  <conditionalFormatting sqref="AY3:AY87">
    <cfRule type="containsText" dxfId="3" priority="4" operator="containsText" text="Yes">
      <formula>NOT(ISERROR(SEARCH("Yes",AY3)))</formula>
    </cfRule>
    <cfRule type="containsText" dxfId="2" priority="3" operator="containsText" text="No">
      <formula>NOT(ISERROR(SEARCH("No",AY3)))</formula>
    </cfRule>
  </conditionalFormatting>
  <conditionalFormatting sqref="BB3:BB87">
    <cfRule type="containsText" dxfId="1" priority="6" operator="containsText" text="Yes">
      <formula>NOT(ISERROR(SEARCH("Yes",BB3)))</formula>
    </cfRule>
    <cfRule type="containsText" dxfId="0" priority="5" operator="containsText" text="No">
      <formula>NOT(ISERROR(SEARCH("No",BB3)))</formula>
    </cfRule>
  </conditionalFormatting>
  <dataValidations count="4">
    <dataValidation type="list" allowBlank="1" showInputMessage="1" showErrorMessage="1" sqref="O3:O87 K3:K87 AP3:AP87 AD58:AD87 I3:I87 R3:R87 AJ3:AJ87 AM3:AM87 U58:U87 AA58:AA87 X58:X87 U3:U18 AG58:AG87 AG3:AG18 U24:U34 AG24:AG34 AG43:AG49 X3:X49 AA3:AA49 U43:U49 AD3:AD49 AY3:AY87 AS3:AS87 BB3:BB87 AV3:AV87" xr:uid="{B3E56600-5ED5-4CFA-B0DD-46985651A2E3}">
      <formula1>"Yes, No"</formula1>
    </dataValidation>
    <dataValidation type="list" allowBlank="1" showInputMessage="1" showErrorMessage="1" sqref="J19:J26 J35:J42 J50:J57" xr:uid="{47A721F8-AC1A-4266-84FB-8F464375090F}">
      <formula1>"Lack of funds/Credit support, Demand was not collected from farmer, Previous year experience was not good, Free distribution from Govt, High Cost, Bought from other vendor"</formula1>
    </dataValidation>
    <dataValidation type="list" allowBlank="1" showInputMessage="1" showErrorMessage="1" sqref="BD43:BD49 Q3:Q87 N3:N87 T6 T19:T23 T35:T42 T50:T57 AL3:AL87 AO3:AO87 AR3:AR87 AI50:AI57 AI11 W18:W23 W13:W14 AI18:AI23 AI13:AI14 AI16 AI3 AI5 W5 W11 Z19:Z23 AC19:AC23 W35:W42 AI35:AI42 W50:W57 Z50:Z57 AC50:AC57 AF50:AF57 BD58:BD87 BD3:BD18 AU3:AU87 BC19:BD23 BD24:BD34 BC35:BD42 BA78:BA87 BC50:BD57 AX68:AX78 BA33:BA44 BA49:BA57 AX17:AX25 AX34:AX57 AX3:AX8 BA3:BA4 BA15:BA23" xr:uid="{D67C4106-AB34-48CC-8EC1-85771602F52E}">
      <formula1>"KG, Packets"</formula1>
    </dataValidation>
    <dataValidation type="list" allowBlank="1" showInputMessage="1" showErrorMessage="1" sqref="J3:J18 J27:J34 J43:J49 J58:J87" xr:uid="{B9C6ECFE-F63C-4CE7-A8B9-853A3503C3D5}">
      <formula1>"Not Applicable, Lack of funds/Credit support, Demand was not collected from farmer, Previous year experience was not good, Free distribution from Govt, High Cost, Bought from other vendor"</formula1>
    </dataValidation>
  </dataValidation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147DE-B139-48DE-A2F6-B0EC0AD78884}">
  <dimension ref="A1:E8"/>
  <sheetViews>
    <sheetView workbookViewId="0">
      <selection sqref="A1:A5"/>
    </sheetView>
  </sheetViews>
  <sheetFormatPr defaultRowHeight="15" x14ac:dyDescent="0.25"/>
  <cols>
    <col min="1" max="1" width="40.85546875" customWidth="1"/>
    <col min="2" max="2" width="22" customWidth="1"/>
    <col min="3" max="3" width="16.7109375" customWidth="1"/>
  </cols>
  <sheetData>
    <row r="1" spans="1:5" x14ac:dyDescent="0.25">
      <c r="A1" s="1" t="s">
        <v>170</v>
      </c>
      <c r="B1" t="s">
        <v>230</v>
      </c>
      <c r="C1" t="s">
        <v>255</v>
      </c>
      <c r="D1" s="11" t="s">
        <v>256</v>
      </c>
      <c r="E1" s="11" t="s">
        <v>257</v>
      </c>
    </row>
    <row r="2" spans="1:5" x14ac:dyDescent="0.25">
      <c r="A2" s="1" t="s">
        <v>171</v>
      </c>
      <c r="B2" t="s">
        <v>258</v>
      </c>
      <c r="C2" t="s">
        <v>259</v>
      </c>
      <c r="D2" t="s">
        <v>260</v>
      </c>
      <c r="E2" s="11" t="s">
        <v>178</v>
      </c>
    </row>
    <row r="3" spans="1:5" x14ac:dyDescent="0.25">
      <c r="A3" s="1" t="s">
        <v>45</v>
      </c>
      <c r="B3" t="s">
        <v>261</v>
      </c>
      <c r="C3" t="s">
        <v>262</v>
      </c>
      <c r="E3" t="s">
        <v>179</v>
      </c>
    </row>
    <row r="4" spans="1:5" x14ac:dyDescent="0.25">
      <c r="A4" s="1" t="s">
        <v>172</v>
      </c>
      <c r="B4" t="s">
        <v>263</v>
      </c>
      <c r="C4" t="s">
        <v>264</v>
      </c>
      <c r="E4" t="s">
        <v>180</v>
      </c>
    </row>
    <row r="5" spans="1:5" x14ac:dyDescent="0.25">
      <c r="A5" s="1" t="s">
        <v>173</v>
      </c>
      <c r="C5" t="s">
        <v>265</v>
      </c>
      <c r="E5" t="s">
        <v>182</v>
      </c>
    </row>
    <row r="7" spans="1:5" x14ac:dyDescent="0.25">
      <c r="B7" t="s">
        <v>266</v>
      </c>
    </row>
    <row r="8" spans="1:5" x14ac:dyDescent="0.25">
      <c r="B8" t="s">
        <v>16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5cb296-d2c1-4293-be61-6a3cbd8e87a3">
      <Terms xmlns="http://schemas.microsoft.com/office/infopath/2007/PartnerControls"/>
    </lcf76f155ced4ddcb4097134ff3c332f>
    <TaxCatchAll xmlns="8680ba5c-ef84-43eb-b0c6-a7b271e2db5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8E5AF512C64C408350C2F612316221" ma:contentTypeVersion="12" ma:contentTypeDescription="Create a new document." ma:contentTypeScope="" ma:versionID="65a3bf97ee23e76f9ce2338067d85a85">
  <xsd:schema xmlns:xsd="http://www.w3.org/2001/XMLSchema" xmlns:xs="http://www.w3.org/2001/XMLSchema" xmlns:p="http://schemas.microsoft.com/office/2006/metadata/properties" xmlns:ns2="535cb296-d2c1-4293-be61-6a3cbd8e87a3" xmlns:ns3="8680ba5c-ef84-43eb-b0c6-a7b271e2db5a" targetNamespace="http://schemas.microsoft.com/office/2006/metadata/properties" ma:root="true" ma:fieldsID="6c999e152a3adb5ced4bd788d0a3a377" ns2:_="" ns3:_="">
    <xsd:import namespace="535cb296-d2c1-4293-be61-6a3cbd8e87a3"/>
    <xsd:import namespace="8680ba5c-ef84-43eb-b0c6-a7b271e2db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5cb296-d2c1-4293-be61-6a3cbd8e87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c962de5-690c-40f6-9925-46ff4f3fc1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80ba5c-ef84-43eb-b0c6-a7b271e2db5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913f7ce-4f81-4aa2-936f-2d27d3bd88c4}" ma:internalName="TaxCatchAll" ma:showField="CatchAllData" ma:web="8680ba5c-ef84-43eb-b0c6-a7b271e2db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1ED3EC-3B1E-446E-827D-BEC499AEF0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3E1929-5C55-4E4F-B6F7-EDF4DFFB90E8}">
  <ds:schemaRefs>
    <ds:schemaRef ds:uri="http://schemas.microsoft.com/office/2006/metadata/properties"/>
    <ds:schemaRef ds:uri="http://schemas.microsoft.com/office/infopath/2007/PartnerControls"/>
    <ds:schemaRef ds:uri="535cb296-d2c1-4293-be61-6a3cbd8e87a3"/>
    <ds:schemaRef ds:uri="8680ba5c-ef84-43eb-b0c6-a7b271e2db5a"/>
  </ds:schemaRefs>
</ds:datastoreItem>
</file>

<file path=customXml/itemProps3.xml><?xml version="1.0" encoding="utf-8"?>
<ds:datastoreItem xmlns:ds="http://schemas.openxmlformats.org/officeDocument/2006/customXml" ds:itemID="{7C87572E-9002-4F72-B4CA-F84A1488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5cb296-d2c1-4293-be61-6a3cbd8e87a3"/>
    <ds:schemaRef ds:uri="8680ba5c-ef84-43eb-b0c6-a7b271e2db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KPIs</vt:lpstr>
      <vt:lpstr>Dashboard</vt:lpstr>
      <vt:lpstr>Sheet7</vt:lpstr>
      <vt:lpstr>Sheet6</vt:lpstr>
      <vt:lpstr>Sheet1 (2)</vt:lpstr>
      <vt:lpstr>Sheet1</vt:lpstr>
      <vt:lpstr>Actual sold -input</vt:lpstr>
      <vt:lpstr>DASHBOARD_variation analysis</vt:lpstr>
      <vt:lpstr>Fertilizer &amp; Pesticide demand</vt:lpstr>
      <vt:lpstr>Farmer Demand</vt:lpstr>
      <vt:lpstr>Input selling form</vt:lpstr>
      <vt:lpstr>Backup 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Basista, Nilanjana</dc:creator>
  <cp:keywords/>
  <dc:description/>
  <cp:lastModifiedBy>Dave, Sheetal</cp:lastModifiedBy>
  <cp:revision/>
  <dcterms:created xsi:type="dcterms:W3CDTF">2015-06-05T18:17:20Z</dcterms:created>
  <dcterms:modified xsi:type="dcterms:W3CDTF">2024-06-24T13:18:59Z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0x010100D88E5AF512C64C408350C2F612316221</vt:lpwstr>
  </property>
  <property fmtid="{D5CDD505-2E9C-101B-9397-08002B2CF9AE}" pid="3" name="MediaServiceImageTags">
    <vt:lpwstr/>
  </property>
</Properties>
</file>