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.xml" ContentType="application/vnd.openxmlformats-officedocument.drawingml.chartshapes+xml"/>
  <Override PartName="/xl/customProperty2.bin" ContentType="application/vnd.openxmlformats-officedocument.spreadsheetml.customProperty"/>
  <Override PartName="/xl/drawings/drawing3.xml" ContentType="application/vnd.openxmlformats-officedocument.drawing+xml"/>
  <Override PartName="/xl/ctrlProps/ctrlProp1.xml" ContentType="application/vnd.ms-excel.controlproperties+xml"/>
  <Override PartName="/xl/drawings/drawing4.xml" ContentType="application/vnd.openxmlformats-officedocument.drawing+xml"/>
  <Override PartName="/xl/ctrlProps/ctrlProp2.xml" ContentType="application/vnd.ms-excel.controlproperties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ustomProperty3.bin" ContentType="application/vnd.openxmlformats-officedocument.spreadsheetml.customProperty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enpactonline-my.sharepoint.com/personal/850045391_genpact_com/Documents/Desktop/GSIF 6/OPS/Pradan FPC/Business plan/Pavan Handover/Business Planning Template/"/>
    </mc:Choice>
  </mc:AlternateContent>
  <xr:revisionPtr revIDLastSave="2079" documentId="13_ncr:1_{9F1129A5-0400-43E8-9526-4B854C9ED001}" xr6:coauthVersionLast="47" xr6:coauthVersionMax="47" xr10:uidLastSave="{49B9C683-FABC-466B-8ADB-4F99405A2A28}"/>
  <bookViews>
    <workbookView xWindow="0" yWindow="0" windowWidth="20490" windowHeight="10920" tabRatio="667" firstSheet="3" activeTab="9" xr2:uid="{C39CB276-E9D6-40EE-B4F4-65571739F3F1}"/>
  </bookViews>
  <sheets>
    <sheet name="Instructions" sheetId="21" r:id="rId1"/>
    <sheet name="Master Assumptions" sheetId="15" r:id="rId2"/>
    <sheet name="Processing Assumptions" sheetId="24" r:id="rId3"/>
    <sheet name="Input" sheetId="19" r:id="rId4"/>
    <sheet name="Output" sheetId="14" r:id="rId5"/>
    <sheet name="Services" sheetId="20" r:id="rId6"/>
    <sheet name="Processing" sheetId="22" r:id="rId7"/>
    <sheet name="Dashboard Other" sheetId="18" r:id="rId8"/>
    <sheet name="Dashboard Financial" sheetId="7" r:id="rId9"/>
    <sheet name="Business Projection" sheetId="1" r:id="rId10"/>
    <sheet name="Actual P&amp;L Statement" sheetId="23" r:id="rId11"/>
    <sheet name="Dashboard - Actual Vs Planned" sheetId="25" r:id="rId12"/>
    <sheet name="Table Ref" sheetId="28" state="hidden" r:id="rId13"/>
    <sheet name="Dashboard-Charts" sheetId="26" r:id="rId14"/>
    <sheet name="Ranges" sheetId="2" state="hidden" r:id="rId15"/>
  </sheets>
  <definedNames>
    <definedName name="_xlnm._FilterDatabase" localSheetId="6" hidden="1">Processing!$A$97:$S$123</definedName>
    <definedName name="_xlnm._FilterDatabase" localSheetId="2" hidden="1">'Processing Assumptions'!$A$71:$S$97</definedName>
    <definedName name="Cash">RangesValid[CashPurchaseRatio]</definedName>
    <definedName name="Cash_PurR" localSheetId="10">RangesValid[CashPurchaseRatio]</definedName>
    <definedName name="Cash_PurR" localSheetId="3">RangesValid[CashPurchaseRatio]</definedName>
    <definedName name="Cash_PurR" localSheetId="2">RangesValid[CashPurchaseRatio]</definedName>
    <definedName name="Cash_PurR">RangesValid[CashPurchaseRatio]</definedName>
    <definedName name="Cash_SalesR" localSheetId="10">RangesValid[CashSalesRatio]</definedName>
    <definedName name="Cash_SalesR" localSheetId="3">RangesValid[CashSalesRatio]</definedName>
    <definedName name="Cash_SalesR" localSheetId="2">RangesValid[CashSalesRatio]</definedName>
    <definedName name="Cash_SalesR">RangesValid[CashSalesRatio]</definedName>
    <definedName name="Credit_days" localSheetId="10">CreditDaysT[Credit Day]</definedName>
    <definedName name="Credit_days" localSheetId="3">CreditDaysT[Credit Day]</definedName>
    <definedName name="Credit_days" localSheetId="2">CreditDaysT[Credit Day]</definedName>
    <definedName name="Credit_days">CreditDaysT[Credit Day]</definedName>
    <definedName name="CreditDays">#REF!</definedName>
    <definedName name="Frequency" localSheetId="10">RangesValid[Frequency]</definedName>
    <definedName name="Frequency" localSheetId="3">RangesValid[Frequency]</definedName>
    <definedName name="Frequency" localSheetId="2">RangesValid[Frequency]</definedName>
    <definedName name="Frequency">RangesValid[Frequency]</definedName>
    <definedName name="GP_Growth" localSheetId="10">RangesValid[GPGrowth]</definedName>
    <definedName name="GP_Growth" localSheetId="3">RangesValid[GPGrowth]</definedName>
    <definedName name="GP_Growth" localSheetId="2">RangesValid[GPGrowth]</definedName>
    <definedName name="GP_Growth">RangesValid[GPGrowth]</definedName>
    <definedName name="Growth_Type1" localSheetId="10">RangesValid[GrowthType]</definedName>
    <definedName name="Growth_Type1" localSheetId="3">RangesValid[GrowthType]</definedName>
    <definedName name="Growth_Type1" localSheetId="2">RangesValid[GrowthType]</definedName>
    <definedName name="Growth_Type1">RangesValid[GrowthType]</definedName>
    <definedName name="Growth_Type2" localSheetId="10">RangesValid[GrowthType2]</definedName>
    <definedName name="Growth_Type2" localSheetId="3">RangesValid[GrowthType2]</definedName>
    <definedName name="Growth_Type2" localSheetId="2">RangesValid[GrowthType2]</definedName>
    <definedName name="Growth_Type2">RangesValid[GrowthType2]</definedName>
    <definedName name="InterestR" localSheetId="10">RangesValid[Interest]</definedName>
    <definedName name="InterestR" localSheetId="3">RangesValid[Interest]</definedName>
    <definedName name="InterestR" localSheetId="2">RangesValid[Interest]</definedName>
    <definedName name="InterestR">RangesValid[Interest]</definedName>
    <definedName name="Pavan" localSheetId="10">RangesValid[CashPurchaseRatio]</definedName>
    <definedName name="Pavan" localSheetId="2">RangesValid[CashPurchaseRatio]</definedName>
    <definedName name="Pavan">RangesValid[CashPurchaseRatio]</definedName>
    <definedName name="PaymentT" localSheetId="10">RangesValid[PaymentTerms]</definedName>
    <definedName name="PaymentT" localSheetId="3">RangesValid[PaymentTerms]</definedName>
    <definedName name="PaymentT" localSheetId="2">RangesValid[PaymentTerms]</definedName>
    <definedName name="PaymentT">RangesValid[PaymentTerms]</definedName>
    <definedName name="Sales_Growth" localSheetId="10">RangesValid[SalesGrowth]</definedName>
    <definedName name="Sales_Growth" localSheetId="3">RangesValid[SalesGrowth]</definedName>
    <definedName name="Sales_Growth" localSheetId="2">RangesValid[SalesGrowth]</definedName>
    <definedName name="Sales_Growth">RangesValid[SalesGrowth]</definedName>
  </definedNames>
  <calcPr calcId="191029" calcCompleted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7" i="18" l="1"/>
  <c r="C71" i="18"/>
  <c r="C70" i="18"/>
  <c r="C69" i="18"/>
  <c r="C68" i="18"/>
  <c r="C66" i="18"/>
  <c r="C65" i="18"/>
  <c r="C64" i="18"/>
  <c r="C63" i="18"/>
  <c r="C62" i="18"/>
  <c r="C61" i="18"/>
  <c r="C60" i="18"/>
  <c r="C59" i="18"/>
  <c r="C58" i="18"/>
  <c r="C57" i="18"/>
  <c r="C56" i="18"/>
  <c r="C55" i="18"/>
  <c r="C54" i="18"/>
  <c r="C53" i="18"/>
  <c r="C52" i="18"/>
  <c r="C51" i="18"/>
  <c r="C50" i="18"/>
  <c r="C49" i="18"/>
  <c r="C48" i="18"/>
  <c r="C47" i="18"/>
  <c r="C46" i="18"/>
  <c r="C45" i="18"/>
  <c r="C44" i="18"/>
  <c r="C43" i="18"/>
  <c r="C42" i="18"/>
  <c r="C41" i="18"/>
  <c r="C40" i="18"/>
  <c r="C39" i="18"/>
  <c r="C38" i="18"/>
  <c r="C37" i="18"/>
  <c r="C36" i="18"/>
  <c r="C35" i="18"/>
  <c r="C34" i="18"/>
  <c r="C33" i="18"/>
  <c r="C32" i="18"/>
  <c r="C31" i="18"/>
  <c r="C30" i="18"/>
  <c r="C29" i="18"/>
  <c r="C28" i="18"/>
  <c r="C27" i="18"/>
  <c r="C26" i="18"/>
  <c r="C25" i="18"/>
  <c r="C24" i="18"/>
  <c r="C23" i="18"/>
  <c r="C22" i="18"/>
  <c r="C21" i="18"/>
  <c r="C20" i="18"/>
  <c r="C19" i="18"/>
  <c r="C18" i="18"/>
  <c r="C17" i="18"/>
  <c r="C16" i="18"/>
  <c r="C15" i="18"/>
  <c r="C14" i="18"/>
  <c r="C13" i="18"/>
  <c r="C12" i="18"/>
  <c r="D132" i="22"/>
  <c r="D136" i="22" s="1"/>
  <c r="D19" i="28"/>
  <c r="D25" i="28" s="1"/>
  <c r="U214" i="1"/>
  <c r="T214" i="1"/>
  <c r="S214" i="1"/>
  <c r="R214" i="1"/>
  <c r="Q214" i="1"/>
  <c r="P214" i="1"/>
  <c r="O214" i="1"/>
  <c r="N214" i="1"/>
  <c r="M214" i="1"/>
  <c r="L214" i="1"/>
  <c r="K214" i="1"/>
  <c r="J214" i="1"/>
  <c r="U213" i="1"/>
  <c r="T213" i="1"/>
  <c r="S213" i="1"/>
  <c r="R213" i="1"/>
  <c r="R215" i="1" s="1"/>
  <c r="Q213" i="1"/>
  <c r="P213" i="1"/>
  <c r="O213" i="1"/>
  <c r="N213" i="1"/>
  <c r="M213" i="1"/>
  <c r="L213" i="1"/>
  <c r="K213" i="1"/>
  <c r="J213" i="1"/>
  <c r="U212" i="1"/>
  <c r="T212" i="1"/>
  <c r="S212" i="1"/>
  <c r="R212" i="1"/>
  <c r="Q212" i="1"/>
  <c r="P212" i="1"/>
  <c r="O212" i="1"/>
  <c r="N212" i="1"/>
  <c r="M212" i="1"/>
  <c r="M215" i="1" s="1"/>
  <c r="L212" i="1"/>
  <c r="K212" i="1"/>
  <c r="J212" i="1"/>
  <c r="U211" i="1"/>
  <c r="T211" i="1"/>
  <c r="S211" i="1"/>
  <c r="R211" i="1"/>
  <c r="Q211" i="1"/>
  <c r="P211" i="1"/>
  <c r="P215" i="1" s="1"/>
  <c r="O211" i="1"/>
  <c r="N211" i="1"/>
  <c r="M211" i="1"/>
  <c r="L211" i="1"/>
  <c r="K211" i="1"/>
  <c r="K215" i="1" s="1"/>
  <c r="J211" i="1"/>
  <c r="U215" i="1"/>
  <c r="T215" i="1"/>
  <c r="S215" i="1"/>
  <c r="Q215" i="1"/>
  <c r="U17" i="1"/>
  <c r="U16" i="1"/>
  <c r="U15" i="1"/>
  <c r="T17" i="1"/>
  <c r="T16" i="1"/>
  <c r="T15" i="1"/>
  <c r="S17" i="1"/>
  <c r="S16" i="1"/>
  <c r="S15" i="1"/>
  <c r="Q17" i="1"/>
  <c r="Q16" i="1"/>
  <c r="Q15" i="1"/>
  <c r="P17" i="1"/>
  <c r="P16" i="1"/>
  <c r="P15" i="1"/>
  <c r="O17" i="1"/>
  <c r="O16" i="1"/>
  <c r="O15" i="1"/>
  <c r="N17" i="1"/>
  <c r="N16" i="1"/>
  <c r="N15" i="1"/>
  <c r="M17" i="1"/>
  <c r="M16" i="1"/>
  <c r="M15" i="1"/>
  <c r="L17" i="1"/>
  <c r="L16" i="1"/>
  <c r="L15" i="1"/>
  <c r="K17" i="1"/>
  <c r="K16" i="1"/>
  <c r="K15" i="1"/>
  <c r="J17" i="1"/>
  <c r="J16" i="1"/>
  <c r="J15" i="1"/>
  <c r="D130" i="22"/>
  <c r="D129" i="22"/>
  <c r="R309" i="15"/>
  <c r="Q309" i="15"/>
  <c r="P309" i="15"/>
  <c r="O309" i="15"/>
  <c r="R308" i="15"/>
  <c r="Q308" i="15"/>
  <c r="P308" i="15"/>
  <c r="O308" i="15"/>
  <c r="R307" i="15"/>
  <c r="Q307" i="15"/>
  <c r="P307" i="15"/>
  <c r="O307" i="15"/>
  <c r="R306" i="15"/>
  <c r="Q306" i="15"/>
  <c r="P306" i="15"/>
  <c r="O306" i="15"/>
  <c r="R305" i="15"/>
  <c r="Q305" i="15"/>
  <c r="P305" i="15"/>
  <c r="O305" i="15"/>
  <c r="R304" i="15"/>
  <c r="Q304" i="15"/>
  <c r="P304" i="15"/>
  <c r="O304" i="15"/>
  <c r="R303" i="15"/>
  <c r="Q303" i="15"/>
  <c r="P303" i="15"/>
  <c r="O303" i="15"/>
  <c r="R302" i="15"/>
  <c r="Q302" i="15"/>
  <c r="P302" i="15"/>
  <c r="O302" i="15"/>
  <c r="R301" i="15"/>
  <c r="Q301" i="15"/>
  <c r="P301" i="15"/>
  <c r="O301" i="15"/>
  <c r="R300" i="15"/>
  <c r="Q300" i="15"/>
  <c r="P300" i="15"/>
  <c r="O300" i="15"/>
  <c r="R299" i="15"/>
  <c r="Q299" i="15"/>
  <c r="P299" i="15"/>
  <c r="O299" i="15"/>
  <c r="R298" i="15"/>
  <c r="Q298" i="15"/>
  <c r="P298" i="15"/>
  <c r="O298" i="15"/>
  <c r="R281" i="15"/>
  <c r="Q281" i="15"/>
  <c r="P281" i="15"/>
  <c r="O281" i="15"/>
  <c r="R280" i="15"/>
  <c r="Q280" i="15"/>
  <c r="P280" i="15"/>
  <c r="O280" i="15"/>
  <c r="R279" i="15"/>
  <c r="Q279" i="15"/>
  <c r="P279" i="15"/>
  <c r="O279" i="15"/>
  <c r="R278" i="15"/>
  <c r="Q278" i="15"/>
  <c r="P278" i="15"/>
  <c r="O278" i="15"/>
  <c r="R277" i="15"/>
  <c r="Q277" i="15"/>
  <c r="P277" i="15"/>
  <c r="O277" i="15"/>
  <c r="R276" i="15"/>
  <c r="Q276" i="15"/>
  <c r="P276" i="15"/>
  <c r="O276" i="15"/>
  <c r="R275" i="15"/>
  <c r="Q275" i="15"/>
  <c r="P275" i="15"/>
  <c r="O275" i="15"/>
  <c r="R274" i="15"/>
  <c r="Q274" i="15"/>
  <c r="P274" i="15"/>
  <c r="O274" i="15"/>
  <c r="R273" i="15"/>
  <c r="Q273" i="15"/>
  <c r="P273" i="15"/>
  <c r="O273" i="15"/>
  <c r="R272" i="15"/>
  <c r="Q272" i="15"/>
  <c r="P272" i="15"/>
  <c r="O272" i="15"/>
  <c r="R271" i="15"/>
  <c r="Q271" i="15"/>
  <c r="P271" i="15"/>
  <c r="O271" i="15"/>
  <c r="R270" i="15"/>
  <c r="Q270" i="15"/>
  <c r="P270" i="15"/>
  <c r="O270" i="15"/>
  <c r="R269" i="15"/>
  <c r="Q269" i="15"/>
  <c r="P269" i="15"/>
  <c r="O269" i="15"/>
  <c r="R268" i="15"/>
  <c r="Q268" i="15"/>
  <c r="P268" i="15"/>
  <c r="O268" i="15"/>
  <c r="R267" i="15"/>
  <c r="Q267" i="15"/>
  <c r="P267" i="15"/>
  <c r="O267" i="15"/>
  <c r="R266" i="15"/>
  <c r="Q266" i="15"/>
  <c r="P266" i="15"/>
  <c r="O266" i="15"/>
  <c r="R265" i="15"/>
  <c r="Q265" i="15"/>
  <c r="P265" i="15"/>
  <c r="O265" i="15"/>
  <c r="R264" i="15"/>
  <c r="Q264" i="15"/>
  <c r="P264" i="15"/>
  <c r="O264" i="15"/>
  <c r="R263" i="15"/>
  <c r="Q263" i="15"/>
  <c r="P263" i="15"/>
  <c r="O263" i="15"/>
  <c r="R262" i="15"/>
  <c r="Q262" i="15"/>
  <c r="P262" i="15"/>
  <c r="O262" i="15"/>
  <c r="R256" i="15"/>
  <c r="Q256" i="15"/>
  <c r="P256" i="15"/>
  <c r="O256" i="15"/>
  <c r="R255" i="15"/>
  <c r="Q255" i="15"/>
  <c r="P255" i="15"/>
  <c r="O255" i="15"/>
  <c r="R254" i="15"/>
  <c r="Q254" i="15"/>
  <c r="P254" i="15"/>
  <c r="O254" i="15"/>
  <c r="R253" i="15"/>
  <c r="Q253" i="15"/>
  <c r="P253" i="15"/>
  <c r="O253" i="15"/>
  <c r="R252" i="15"/>
  <c r="Q252" i="15"/>
  <c r="P252" i="15"/>
  <c r="O252" i="15"/>
  <c r="R251" i="15"/>
  <c r="Q251" i="15"/>
  <c r="P251" i="15"/>
  <c r="O251" i="15"/>
  <c r="R250" i="15"/>
  <c r="Q250" i="15"/>
  <c r="P250" i="15"/>
  <c r="O250" i="15"/>
  <c r="R249" i="15"/>
  <c r="Q249" i="15"/>
  <c r="P249" i="15"/>
  <c r="O249" i="15"/>
  <c r="R248" i="15"/>
  <c r="Q248" i="15"/>
  <c r="P248" i="15"/>
  <c r="O248" i="15"/>
  <c r="R247" i="15"/>
  <c r="Q247" i="15"/>
  <c r="P247" i="15"/>
  <c r="O247" i="15"/>
  <c r="R246" i="15"/>
  <c r="Q246" i="15"/>
  <c r="P246" i="15"/>
  <c r="O246" i="15"/>
  <c r="R245" i="15"/>
  <c r="Q245" i="15"/>
  <c r="P245" i="15"/>
  <c r="O245" i="15"/>
  <c r="R244" i="15"/>
  <c r="Q244" i="15"/>
  <c r="P244" i="15"/>
  <c r="O244" i="15"/>
  <c r="R243" i="15"/>
  <c r="Q243" i="15"/>
  <c r="P243" i="15"/>
  <c r="O243" i="15"/>
  <c r="R242" i="15"/>
  <c r="Q242" i="15"/>
  <c r="P242" i="15"/>
  <c r="O242" i="15"/>
  <c r="R241" i="15"/>
  <c r="Q241" i="15"/>
  <c r="P241" i="15"/>
  <c r="O241" i="15"/>
  <c r="R240" i="15"/>
  <c r="Q240" i="15"/>
  <c r="P240" i="15"/>
  <c r="O240" i="15"/>
  <c r="R212" i="15"/>
  <c r="Q212" i="15"/>
  <c r="P212" i="15"/>
  <c r="O212" i="15"/>
  <c r="R211" i="15"/>
  <c r="Q211" i="15"/>
  <c r="P211" i="15"/>
  <c r="O211" i="15"/>
  <c r="R210" i="15"/>
  <c r="Q210" i="15"/>
  <c r="P210" i="15"/>
  <c r="O210" i="15"/>
  <c r="R209" i="15"/>
  <c r="Q209" i="15"/>
  <c r="P209" i="15"/>
  <c r="O209" i="15"/>
  <c r="R208" i="15"/>
  <c r="Q208" i="15"/>
  <c r="P208" i="15"/>
  <c r="O208" i="15"/>
  <c r="R207" i="15"/>
  <c r="Q207" i="15"/>
  <c r="P207" i="15"/>
  <c r="O207" i="15"/>
  <c r="R206" i="15"/>
  <c r="Q206" i="15"/>
  <c r="P206" i="15"/>
  <c r="O206" i="15"/>
  <c r="R205" i="15"/>
  <c r="Q205" i="15"/>
  <c r="P205" i="15"/>
  <c r="O205" i="15"/>
  <c r="R204" i="15"/>
  <c r="Q204" i="15"/>
  <c r="P204" i="15"/>
  <c r="O204" i="15"/>
  <c r="R203" i="15"/>
  <c r="Q203" i="15"/>
  <c r="P203" i="15"/>
  <c r="O203" i="15"/>
  <c r="R202" i="15"/>
  <c r="Q202" i="15"/>
  <c r="P202" i="15"/>
  <c r="O202" i="15"/>
  <c r="R201" i="15"/>
  <c r="Q201" i="15"/>
  <c r="P201" i="15"/>
  <c r="O201" i="15"/>
  <c r="R200" i="15"/>
  <c r="Q200" i="15"/>
  <c r="P200" i="15"/>
  <c r="O200" i="15"/>
  <c r="R199" i="15"/>
  <c r="Q199" i="15"/>
  <c r="P199" i="15"/>
  <c r="O199" i="15"/>
  <c r="R198" i="15"/>
  <c r="Q198" i="15"/>
  <c r="P198" i="15"/>
  <c r="O198" i="15"/>
  <c r="R197" i="15"/>
  <c r="Q197" i="15"/>
  <c r="P197" i="15"/>
  <c r="O197" i="15"/>
  <c r="R196" i="15"/>
  <c r="Q196" i="15"/>
  <c r="P196" i="15"/>
  <c r="O196" i="15"/>
  <c r="R195" i="15"/>
  <c r="Q195" i="15"/>
  <c r="P195" i="15"/>
  <c r="O195" i="15"/>
  <c r="R194" i="15"/>
  <c r="Q194" i="15"/>
  <c r="P194" i="15"/>
  <c r="O194" i="15"/>
  <c r="R193" i="15"/>
  <c r="Q193" i="15"/>
  <c r="P193" i="15"/>
  <c r="O193" i="15"/>
  <c r="R192" i="15"/>
  <c r="Q192" i="15"/>
  <c r="P192" i="15"/>
  <c r="O192" i="15"/>
  <c r="R191" i="15"/>
  <c r="Q191" i="15"/>
  <c r="P191" i="15"/>
  <c r="O191" i="15"/>
  <c r="R190" i="15"/>
  <c r="Q190" i="15"/>
  <c r="P190" i="15"/>
  <c r="O190" i="15"/>
  <c r="R189" i="15"/>
  <c r="Q189" i="15"/>
  <c r="P189" i="15"/>
  <c r="O189" i="15"/>
  <c r="R188" i="15"/>
  <c r="Q188" i="15"/>
  <c r="P188" i="15"/>
  <c r="O188" i="15"/>
  <c r="R187" i="15"/>
  <c r="Q187" i="15"/>
  <c r="P187" i="15"/>
  <c r="O187" i="15"/>
  <c r="R186" i="15"/>
  <c r="Q186" i="15"/>
  <c r="P186" i="15"/>
  <c r="O186" i="15"/>
  <c r="R185" i="15"/>
  <c r="Q185" i="15"/>
  <c r="P185" i="15"/>
  <c r="O185" i="15"/>
  <c r="R184" i="15"/>
  <c r="Q184" i="15"/>
  <c r="P184" i="15"/>
  <c r="O184" i="15"/>
  <c r="R183" i="15"/>
  <c r="Q183" i="15"/>
  <c r="P183" i="15"/>
  <c r="O183" i="15"/>
  <c r="R182" i="15"/>
  <c r="Q182" i="15"/>
  <c r="P182" i="15"/>
  <c r="O182" i="15"/>
  <c r="R181" i="15"/>
  <c r="Q181" i="15"/>
  <c r="P181" i="15"/>
  <c r="O181" i="15"/>
  <c r="R180" i="15"/>
  <c r="Q180" i="15"/>
  <c r="P180" i="15"/>
  <c r="O180" i="15"/>
  <c r="R179" i="15"/>
  <c r="Q179" i="15"/>
  <c r="P179" i="15"/>
  <c r="O179" i="15"/>
  <c r="R178" i="15"/>
  <c r="Q178" i="15"/>
  <c r="P178" i="15"/>
  <c r="O178" i="15"/>
  <c r="R177" i="15"/>
  <c r="Q177" i="15"/>
  <c r="P177" i="15"/>
  <c r="O177" i="15"/>
  <c r="R176" i="15"/>
  <c r="Q176" i="15"/>
  <c r="P176" i="15"/>
  <c r="O176" i="15"/>
  <c r="R175" i="15"/>
  <c r="Q175" i="15"/>
  <c r="P175" i="15"/>
  <c r="O175" i="15"/>
  <c r="R174" i="15"/>
  <c r="Q174" i="15"/>
  <c r="P174" i="15"/>
  <c r="O174" i="15"/>
  <c r="R173" i="15"/>
  <c r="Q173" i="15"/>
  <c r="P173" i="15"/>
  <c r="O173" i="15"/>
  <c r="R172" i="15"/>
  <c r="Q172" i="15"/>
  <c r="P172" i="15"/>
  <c r="O172" i="15"/>
  <c r="R171" i="15"/>
  <c r="Q171" i="15"/>
  <c r="P171" i="15"/>
  <c r="O171" i="15"/>
  <c r="R170" i="15"/>
  <c r="Q170" i="15"/>
  <c r="P170" i="15"/>
  <c r="O170" i="15"/>
  <c r="R169" i="15"/>
  <c r="Q169" i="15"/>
  <c r="P169" i="15"/>
  <c r="O169" i="15"/>
  <c r="R168" i="15"/>
  <c r="Q168" i="15"/>
  <c r="P168" i="15"/>
  <c r="O168" i="15"/>
  <c r="R167" i="15"/>
  <c r="Q167" i="15"/>
  <c r="P167" i="15"/>
  <c r="O167" i="15"/>
  <c r="D23" i="28" l="1"/>
  <c r="F25" i="28"/>
  <c r="E23" i="28"/>
  <c r="E25" i="28"/>
  <c r="F23" i="28"/>
  <c r="D24" i="28"/>
  <c r="E24" i="28"/>
  <c r="D22" i="28"/>
  <c r="F24" i="28"/>
  <c r="F22" i="28"/>
  <c r="E22" i="28"/>
  <c r="L215" i="1"/>
  <c r="N215" i="1"/>
  <c r="O215" i="1"/>
  <c r="J215" i="1"/>
  <c r="H198" i="1"/>
  <c r="D11" i="25" l="1"/>
  <c r="D9" i="25"/>
  <c r="P31" i="25"/>
  <c r="P30" i="25"/>
  <c r="P29" i="25"/>
  <c r="P28" i="25"/>
  <c r="M31" i="25"/>
  <c r="M30" i="25"/>
  <c r="M29" i="25"/>
  <c r="M28" i="25"/>
  <c r="J31" i="25"/>
  <c r="J30" i="25"/>
  <c r="J29" i="25"/>
  <c r="J28" i="25"/>
  <c r="G31" i="25"/>
  <c r="G30" i="25"/>
  <c r="G29" i="25"/>
  <c r="G28" i="25"/>
  <c r="D31" i="25"/>
  <c r="D30" i="25"/>
  <c r="D29" i="25"/>
  <c r="D28" i="25"/>
  <c r="J22" i="25"/>
  <c r="J21" i="25"/>
  <c r="J20" i="25"/>
  <c r="J19" i="25"/>
  <c r="D10" i="25"/>
  <c r="M11" i="25"/>
  <c r="M10" i="25"/>
  <c r="M9" i="25"/>
  <c r="M8" i="25"/>
  <c r="J11" i="25"/>
  <c r="J10" i="25"/>
  <c r="J8" i="25"/>
  <c r="G11" i="25"/>
  <c r="D2" i="28"/>
  <c r="G10" i="25"/>
  <c r="G8" i="25"/>
  <c r="D8" i="25"/>
  <c r="V57" i="23"/>
  <c r="C74" i="18"/>
  <c r="F3" i="18" s="1"/>
  <c r="E6" i="18"/>
  <c r="E5" i="18"/>
  <c r="E4" i="18"/>
  <c r="E3" i="18"/>
  <c r="D6" i="18"/>
  <c r="D5" i="18"/>
  <c r="D4" i="18"/>
  <c r="D3" i="18"/>
  <c r="D123" i="22"/>
  <c r="D122" i="22"/>
  <c r="D121" i="22"/>
  <c r="D120" i="22"/>
  <c r="D119" i="22"/>
  <c r="D118" i="22"/>
  <c r="D117" i="22"/>
  <c r="D116" i="22"/>
  <c r="D115" i="22"/>
  <c r="D114" i="22"/>
  <c r="D113" i="22"/>
  <c r="D112" i="22"/>
  <c r="D111" i="22"/>
  <c r="D110" i="22"/>
  <c r="D109" i="22"/>
  <c r="D108" i="22"/>
  <c r="D107" i="22"/>
  <c r="D106" i="22"/>
  <c r="D105" i="22"/>
  <c r="D104" i="22"/>
  <c r="D103" i="22"/>
  <c r="D102" i="22"/>
  <c r="D101" i="22"/>
  <c r="D100" i="22"/>
  <c r="D99" i="22"/>
  <c r="C123" i="22"/>
  <c r="C122" i="22"/>
  <c r="C121" i="22"/>
  <c r="C120" i="22"/>
  <c r="C119" i="22"/>
  <c r="C118" i="22"/>
  <c r="C117" i="22"/>
  <c r="C116" i="22"/>
  <c r="C115" i="22"/>
  <c r="C114" i="22"/>
  <c r="C113" i="22"/>
  <c r="C112" i="22"/>
  <c r="C111" i="22"/>
  <c r="C110" i="22"/>
  <c r="C109" i="22"/>
  <c r="C108" i="22"/>
  <c r="C107" i="22"/>
  <c r="C106" i="22"/>
  <c r="C105" i="22"/>
  <c r="C104" i="22"/>
  <c r="C103" i="22"/>
  <c r="C102" i="22"/>
  <c r="C101" i="22"/>
  <c r="C100" i="22"/>
  <c r="C99" i="22"/>
  <c r="B123" i="22"/>
  <c r="B122" i="22"/>
  <c r="B121" i="22"/>
  <c r="B120" i="22"/>
  <c r="B119" i="22"/>
  <c r="B118" i="22"/>
  <c r="B117" i="22"/>
  <c r="B116" i="22"/>
  <c r="B115" i="22"/>
  <c r="B114" i="22"/>
  <c r="B113" i="22"/>
  <c r="B112" i="22"/>
  <c r="B111" i="22"/>
  <c r="B110" i="22"/>
  <c r="B109" i="22"/>
  <c r="B108" i="22"/>
  <c r="B107" i="22"/>
  <c r="B106" i="22"/>
  <c r="B105" i="22"/>
  <c r="B104" i="22"/>
  <c r="B103" i="22"/>
  <c r="B102" i="22"/>
  <c r="B101" i="22"/>
  <c r="B100" i="22"/>
  <c r="B99" i="22"/>
  <c r="B90" i="22"/>
  <c r="B89" i="22"/>
  <c r="B88" i="22"/>
  <c r="B87" i="22"/>
  <c r="B81" i="22"/>
  <c r="B80" i="22"/>
  <c r="B79" i="22"/>
  <c r="B78" i="22"/>
  <c r="B73" i="22"/>
  <c r="B72" i="22"/>
  <c r="B71" i="22"/>
  <c r="B70" i="22"/>
  <c r="B64" i="22"/>
  <c r="B63" i="22"/>
  <c r="B62" i="22"/>
  <c r="B61" i="22"/>
  <c r="B54" i="22"/>
  <c r="B53" i="22"/>
  <c r="B52" i="22"/>
  <c r="B51" i="22"/>
  <c r="H4" i="22"/>
  <c r="G4" i="22"/>
  <c r="F4" i="22"/>
  <c r="E4" i="22"/>
  <c r="B39" i="22"/>
  <c r="B38" i="22"/>
  <c r="B37" i="22"/>
  <c r="B36" i="22"/>
  <c r="B35" i="22"/>
  <c r="B34" i="22"/>
  <c r="B33" i="22"/>
  <c r="B32" i="22"/>
  <c r="B31" i="22"/>
  <c r="B30" i="22"/>
  <c r="B29" i="22"/>
  <c r="B28" i="22"/>
  <c r="B27" i="22"/>
  <c r="B26" i="22"/>
  <c r="B25" i="22"/>
  <c r="B24" i="22"/>
  <c r="B23" i="22"/>
  <c r="B22" i="22"/>
  <c r="B21" i="22"/>
  <c r="B20" i="22"/>
  <c r="B19" i="22"/>
  <c r="B18" i="22"/>
  <c r="B17" i="22"/>
  <c r="B16" i="22"/>
  <c r="B15" i="22"/>
  <c r="B14" i="22"/>
  <c r="B13" i="22"/>
  <c r="B12" i="22"/>
  <c r="B11" i="22"/>
  <c r="B10" i="22"/>
  <c r="B9" i="22"/>
  <c r="B8" i="22"/>
  <c r="B7" i="22"/>
  <c r="B6" i="22"/>
  <c r="B5" i="22"/>
  <c r="A16" i="20"/>
  <c r="A32" i="20" s="1"/>
  <c r="A48" i="20" s="1"/>
  <c r="A15" i="20"/>
  <c r="A31" i="20" s="1"/>
  <c r="A47" i="20" s="1"/>
  <c r="A14" i="20"/>
  <c r="A30" i="20" s="1"/>
  <c r="A46" i="20" s="1"/>
  <c r="A13" i="20"/>
  <c r="A29" i="20" s="1"/>
  <c r="A45" i="20" s="1"/>
  <c r="A9" i="20"/>
  <c r="A25" i="20" s="1"/>
  <c r="A41" i="20" s="1"/>
  <c r="A5" i="20"/>
  <c r="A21" i="20" s="1"/>
  <c r="A37" i="20" s="1"/>
  <c r="B86" i="14"/>
  <c r="B85" i="14"/>
  <c r="B84" i="14"/>
  <c r="B83" i="14"/>
  <c r="B82" i="14"/>
  <c r="B81" i="14"/>
  <c r="B80" i="14"/>
  <c r="B79" i="14"/>
  <c r="B78" i="14"/>
  <c r="B77" i="14"/>
  <c r="B76" i="14"/>
  <c r="B75" i="14"/>
  <c r="B74" i="14"/>
  <c r="B73" i="14"/>
  <c r="B72" i="14"/>
  <c r="B71" i="14"/>
  <c r="B70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B149" i="19"/>
  <c r="B148" i="19"/>
  <c r="B147" i="19"/>
  <c r="B146" i="19"/>
  <c r="B145" i="19"/>
  <c r="B144" i="19"/>
  <c r="B143" i="19"/>
  <c r="B142" i="19"/>
  <c r="B141" i="19"/>
  <c r="B140" i="19"/>
  <c r="B139" i="19"/>
  <c r="B138" i="19"/>
  <c r="B137" i="19"/>
  <c r="B136" i="19"/>
  <c r="B135" i="19"/>
  <c r="B134" i="19"/>
  <c r="B133" i="19"/>
  <c r="B132" i="19"/>
  <c r="B131" i="19"/>
  <c r="B130" i="19"/>
  <c r="B129" i="19"/>
  <c r="B128" i="19"/>
  <c r="B127" i="19"/>
  <c r="B126" i="19"/>
  <c r="B125" i="19"/>
  <c r="B124" i="19"/>
  <c r="B123" i="19"/>
  <c r="B122" i="19"/>
  <c r="B121" i="19"/>
  <c r="B120" i="19"/>
  <c r="B119" i="19"/>
  <c r="B118" i="19"/>
  <c r="B117" i="19"/>
  <c r="B116" i="19"/>
  <c r="B115" i="19"/>
  <c r="B114" i="19"/>
  <c r="B113" i="19"/>
  <c r="B112" i="19"/>
  <c r="B111" i="19"/>
  <c r="B110" i="19"/>
  <c r="B109" i="19"/>
  <c r="B108" i="19"/>
  <c r="B107" i="19"/>
  <c r="B106" i="19"/>
  <c r="B105" i="19"/>
  <c r="B104" i="19"/>
  <c r="B99" i="19"/>
  <c r="B98" i="19"/>
  <c r="B97" i="19"/>
  <c r="B96" i="19"/>
  <c r="B95" i="19"/>
  <c r="B94" i="19"/>
  <c r="B93" i="19"/>
  <c r="B92" i="19"/>
  <c r="B91" i="19"/>
  <c r="B90" i="19"/>
  <c r="B89" i="19"/>
  <c r="B88" i="19"/>
  <c r="B87" i="19"/>
  <c r="B86" i="19"/>
  <c r="B85" i="19"/>
  <c r="B84" i="19"/>
  <c r="B83" i="19"/>
  <c r="B82" i="19"/>
  <c r="B81" i="19"/>
  <c r="B80" i="19"/>
  <c r="B79" i="19"/>
  <c r="B78" i="19"/>
  <c r="B77" i="19"/>
  <c r="B76" i="19"/>
  <c r="B75" i="19"/>
  <c r="B74" i="19"/>
  <c r="B73" i="19"/>
  <c r="B72" i="19"/>
  <c r="B71" i="19"/>
  <c r="B70" i="19"/>
  <c r="B69" i="19"/>
  <c r="B68" i="19"/>
  <c r="B67" i="19"/>
  <c r="B66" i="19"/>
  <c r="B65" i="19"/>
  <c r="B64" i="19"/>
  <c r="B63" i="19"/>
  <c r="B62" i="19"/>
  <c r="B61" i="19"/>
  <c r="B60" i="19"/>
  <c r="B59" i="19"/>
  <c r="B58" i="19"/>
  <c r="B57" i="19"/>
  <c r="B56" i="19"/>
  <c r="B55" i="19"/>
  <c r="B54" i="19"/>
  <c r="B49" i="19"/>
  <c r="B48" i="19"/>
  <c r="B47" i="19"/>
  <c r="B46" i="19"/>
  <c r="B45" i="19"/>
  <c r="B44" i="19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B14" i="19"/>
  <c r="B13" i="19"/>
  <c r="B12" i="19"/>
  <c r="B11" i="19"/>
  <c r="B10" i="19"/>
  <c r="B9" i="19"/>
  <c r="B8" i="19"/>
  <c r="B7" i="19"/>
  <c r="B6" i="19"/>
  <c r="B5" i="19"/>
  <c r="B4" i="19"/>
  <c r="I214" i="1"/>
  <c r="I213" i="1"/>
  <c r="I212" i="1"/>
  <c r="I211" i="1"/>
  <c r="H214" i="1"/>
  <c r="H213" i="1"/>
  <c r="H212" i="1"/>
  <c r="H211" i="1"/>
  <c r="E196" i="1"/>
  <c r="B186" i="1"/>
  <c r="E140" i="1"/>
  <c r="E139" i="1"/>
  <c r="E138" i="1"/>
  <c r="E137" i="1"/>
  <c r="E136" i="1"/>
  <c r="U127" i="1"/>
  <c r="T127" i="1"/>
  <c r="S127" i="1"/>
  <c r="U126" i="1"/>
  <c r="T126" i="1"/>
  <c r="S126" i="1"/>
  <c r="U125" i="1"/>
  <c r="T125" i="1"/>
  <c r="S125" i="1"/>
  <c r="U124" i="1"/>
  <c r="T124" i="1"/>
  <c r="S124" i="1"/>
  <c r="U123" i="1"/>
  <c r="T123" i="1"/>
  <c r="S123" i="1"/>
  <c r="R127" i="1"/>
  <c r="Q127" i="1"/>
  <c r="P127" i="1"/>
  <c r="R126" i="1"/>
  <c r="Q126" i="1"/>
  <c r="P126" i="1"/>
  <c r="R125" i="1"/>
  <c r="Q125" i="1"/>
  <c r="P125" i="1"/>
  <c r="R124" i="1"/>
  <c r="Q124" i="1"/>
  <c r="P124" i="1"/>
  <c r="R123" i="1"/>
  <c r="Q123" i="1"/>
  <c r="P123" i="1"/>
  <c r="O127" i="1"/>
  <c r="N127" i="1"/>
  <c r="M127" i="1"/>
  <c r="O126" i="1"/>
  <c r="N126" i="1"/>
  <c r="M126" i="1"/>
  <c r="O125" i="1"/>
  <c r="N125" i="1"/>
  <c r="M125" i="1"/>
  <c r="O124" i="1"/>
  <c r="N124" i="1"/>
  <c r="M124" i="1"/>
  <c r="O123" i="1"/>
  <c r="N123" i="1"/>
  <c r="M123" i="1"/>
  <c r="L127" i="1"/>
  <c r="L126" i="1"/>
  <c r="L125" i="1"/>
  <c r="L124" i="1"/>
  <c r="L123" i="1"/>
  <c r="K127" i="1"/>
  <c r="K126" i="1"/>
  <c r="K125" i="1"/>
  <c r="K124" i="1"/>
  <c r="K123" i="1"/>
  <c r="J127" i="1"/>
  <c r="J126" i="1"/>
  <c r="J125" i="1"/>
  <c r="J124" i="1"/>
  <c r="J123" i="1"/>
  <c r="E112" i="1"/>
  <c r="E111" i="1"/>
  <c r="E110" i="1"/>
  <c r="E109" i="1"/>
  <c r="E108" i="1"/>
  <c r="U99" i="1"/>
  <c r="T99" i="1"/>
  <c r="S99" i="1"/>
  <c r="R99" i="1"/>
  <c r="Q99" i="1"/>
  <c r="P99" i="1"/>
  <c r="O99" i="1"/>
  <c r="N99" i="1"/>
  <c r="M99" i="1"/>
  <c r="L99" i="1"/>
  <c r="K99" i="1"/>
  <c r="U98" i="1"/>
  <c r="T98" i="1"/>
  <c r="S98" i="1"/>
  <c r="R98" i="1"/>
  <c r="Q98" i="1"/>
  <c r="P98" i="1"/>
  <c r="O98" i="1"/>
  <c r="N98" i="1"/>
  <c r="M98" i="1"/>
  <c r="L98" i="1"/>
  <c r="K98" i="1"/>
  <c r="U97" i="1"/>
  <c r="T97" i="1"/>
  <c r="S97" i="1"/>
  <c r="R97" i="1"/>
  <c r="Q97" i="1"/>
  <c r="P97" i="1"/>
  <c r="O97" i="1"/>
  <c r="N97" i="1"/>
  <c r="M97" i="1"/>
  <c r="L97" i="1"/>
  <c r="K97" i="1"/>
  <c r="U96" i="1"/>
  <c r="T96" i="1"/>
  <c r="S96" i="1"/>
  <c r="R96" i="1"/>
  <c r="Q96" i="1"/>
  <c r="P96" i="1"/>
  <c r="O96" i="1"/>
  <c r="N96" i="1"/>
  <c r="M96" i="1"/>
  <c r="L96" i="1"/>
  <c r="K96" i="1"/>
  <c r="U95" i="1"/>
  <c r="T95" i="1"/>
  <c r="S95" i="1"/>
  <c r="R95" i="1"/>
  <c r="Q95" i="1"/>
  <c r="P95" i="1"/>
  <c r="O95" i="1"/>
  <c r="N95" i="1"/>
  <c r="M95" i="1"/>
  <c r="L95" i="1"/>
  <c r="K95" i="1"/>
  <c r="J99" i="1"/>
  <c r="J98" i="1"/>
  <c r="J97" i="1"/>
  <c r="J96" i="1"/>
  <c r="J95" i="1"/>
  <c r="I42" i="1"/>
  <c r="I41" i="1"/>
  <c r="I40" i="1"/>
  <c r="I39" i="1"/>
  <c r="I38" i="1"/>
  <c r="S64" i="22"/>
  <c r="S63" i="22"/>
  <c r="S62" i="22"/>
  <c r="S61" i="22"/>
  <c r="F123" i="22"/>
  <c r="F122" i="22"/>
  <c r="F121" i="22"/>
  <c r="F118" i="22"/>
  <c r="F116" i="22"/>
  <c r="F115" i="22"/>
  <c r="F114" i="22"/>
  <c r="F113" i="22"/>
  <c r="F112" i="22"/>
  <c r="F111" i="22"/>
  <c r="F110" i="22"/>
  <c r="F109" i="22"/>
  <c r="F108" i="22"/>
  <c r="F107" i="22"/>
  <c r="F106" i="22"/>
  <c r="F103" i="22"/>
  <c r="E123" i="22"/>
  <c r="E122" i="22"/>
  <c r="E121" i="22"/>
  <c r="E120" i="22"/>
  <c r="E119" i="22"/>
  <c r="E118" i="22"/>
  <c r="E117" i="22"/>
  <c r="E116" i="22"/>
  <c r="E115" i="22"/>
  <c r="E113" i="22"/>
  <c r="E112" i="22"/>
  <c r="E111" i="22"/>
  <c r="E110" i="22"/>
  <c r="E108" i="22"/>
  <c r="E107" i="22"/>
  <c r="E106" i="22"/>
  <c r="E105" i="22"/>
  <c r="E104" i="22"/>
  <c r="E103" i="22"/>
  <c r="E102" i="22"/>
  <c r="E101" i="22"/>
  <c r="E100" i="22"/>
  <c r="E99" i="22"/>
  <c r="N64" i="22"/>
  <c r="M64" i="22"/>
  <c r="L64" i="22"/>
  <c r="K64" i="22"/>
  <c r="J64" i="22"/>
  <c r="I64" i="22"/>
  <c r="H64" i="22"/>
  <c r="G64" i="22"/>
  <c r="F64" i="22"/>
  <c r="E64" i="22"/>
  <c r="D64" i="22"/>
  <c r="N63" i="22"/>
  <c r="M63" i="22"/>
  <c r="L63" i="22"/>
  <c r="K63" i="22"/>
  <c r="J63" i="22"/>
  <c r="I63" i="22"/>
  <c r="H63" i="22"/>
  <c r="G63" i="22"/>
  <c r="F63" i="22"/>
  <c r="E63" i="22"/>
  <c r="D63" i="22"/>
  <c r="N62" i="22"/>
  <c r="M62" i="22"/>
  <c r="L62" i="22"/>
  <c r="K62" i="22"/>
  <c r="J62" i="22"/>
  <c r="I62" i="22"/>
  <c r="H62" i="22"/>
  <c r="G62" i="22"/>
  <c r="F62" i="22"/>
  <c r="E62" i="22"/>
  <c r="D62" i="22"/>
  <c r="N61" i="22"/>
  <c r="M61" i="22"/>
  <c r="L61" i="22"/>
  <c r="K61" i="22"/>
  <c r="J61" i="22"/>
  <c r="I61" i="22"/>
  <c r="H61" i="22"/>
  <c r="G61" i="22"/>
  <c r="F61" i="22"/>
  <c r="E61" i="22"/>
  <c r="D61" i="22"/>
  <c r="C64" i="22"/>
  <c r="C63" i="22"/>
  <c r="C62" i="22"/>
  <c r="C61" i="22"/>
  <c r="N54" i="22"/>
  <c r="M54" i="22"/>
  <c r="L54" i="22"/>
  <c r="K54" i="22"/>
  <c r="J54" i="22"/>
  <c r="I54" i="22"/>
  <c r="H54" i="22"/>
  <c r="G54" i="22"/>
  <c r="F54" i="22"/>
  <c r="E54" i="22"/>
  <c r="D54" i="22"/>
  <c r="N53" i="22"/>
  <c r="M53" i="22"/>
  <c r="L53" i="22"/>
  <c r="K53" i="22"/>
  <c r="J53" i="22"/>
  <c r="I53" i="22"/>
  <c r="H53" i="22"/>
  <c r="G53" i="22"/>
  <c r="F53" i="22"/>
  <c r="E53" i="22"/>
  <c r="D53" i="22"/>
  <c r="N52" i="22"/>
  <c r="M52" i="22"/>
  <c r="L52" i="22"/>
  <c r="K52" i="22"/>
  <c r="J52" i="22"/>
  <c r="I52" i="22"/>
  <c r="H52" i="22"/>
  <c r="G52" i="22"/>
  <c r="F52" i="22"/>
  <c r="E52" i="22"/>
  <c r="D52" i="22"/>
  <c r="N51" i="22"/>
  <c r="M51" i="22"/>
  <c r="L51" i="22"/>
  <c r="K51" i="22"/>
  <c r="J51" i="22"/>
  <c r="I51" i="22"/>
  <c r="H51" i="22"/>
  <c r="G51" i="22"/>
  <c r="F51" i="22"/>
  <c r="E51" i="22"/>
  <c r="D51" i="22"/>
  <c r="C54" i="22"/>
  <c r="C53" i="22"/>
  <c r="C52" i="22"/>
  <c r="C51" i="22"/>
  <c r="H45" i="22"/>
  <c r="G45" i="22"/>
  <c r="F45" i="22"/>
  <c r="E45" i="22"/>
  <c r="H43" i="22"/>
  <c r="G43" i="22"/>
  <c r="F43" i="22"/>
  <c r="E43" i="22"/>
  <c r="H41" i="22"/>
  <c r="G41" i="22"/>
  <c r="F41" i="22"/>
  <c r="E41" i="22"/>
  <c r="H39" i="22"/>
  <c r="G39" i="22"/>
  <c r="F39" i="22"/>
  <c r="E39" i="22"/>
  <c r="H38" i="22"/>
  <c r="G38" i="22"/>
  <c r="F38" i="22"/>
  <c r="E38" i="22"/>
  <c r="H37" i="22"/>
  <c r="G37" i="22"/>
  <c r="F37" i="22"/>
  <c r="E37" i="22"/>
  <c r="H36" i="22"/>
  <c r="G36" i="22"/>
  <c r="F36" i="22"/>
  <c r="E36" i="22"/>
  <c r="H35" i="22"/>
  <c r="G35" i="22"/>
  <c r="F35" i="22"/>
  <c r="E35" i="22"/>
  <c r="H34" i="22"/>
  <c r="G34" i="22"/>
  <c r="F34" i="22"/>
  <c r="E34" i="22"/>
  <c r="H33" i="22"/>
  <c r="G33" i="22"/>
  <c r="F33" i="22"/>
  <c r="E33" i="22"/>
  <c r="H32" i="22"/>
  <c r="G32" i="22"/>
  <c r="F32" i="22"/>
  <c r="E32" i="22"/>
  <c r="H31" i="22"/>
  <c r="G31" i="22"/>
  <c r="F31" i="22"/>
  <c r="E31" i="22"/>
  <c r="H30" i="22"/>
  <c r="G30" i="22"/>
  <c r="F30" i="22"/>
  <c r="E30" i="22"/>
  <c r="H29" i="22"/>
  <c r="G29" i="22"/>
  <c r="F29" i="22"/>
  <c r="E29" i="22"/>
  <c r="H28" i="22"/>
  <c r="G28" i="22"/>
  <c r="F28" i="22"/>
  <c r="E28" i="22"/>
  <c r="H27" i="22"/>
  <c r="G27" i="22"/>
  <c r="F27" i="22"/>
  <c r="E27" i="22"/>
  <c r="H26" i="22"/>
  <c r="G26" i="22"/>
  <c r="F26" i="22"/>
  <c r="E26" i="22"/>
  <c r="H25" i="22"/>
  <c r="G25" i="22"/>
  <c r="F25" i="22"/>
  <c r="E25" i="22"/>
  <c r="H24" i="22"/>
  <c r="G24" i="22"/>
  <c r="F24" i="22"/>
  <c r="E24" i="22"/>
  <c r="H23" i="22"/>
  <c r="G23" i="22"/>
  <c r="F23" i="22"/>
  <c r="E23" i="22"/>
  <c r="H22" i="22"/>
  <c r="G22" i="22"/>
  <c r="F22" i="22"/>
  <c r="E22" i="22"/>
  <c r="H21" i="22"/>
  <c r="G21" i="22"/>
  <c r="F21" i="22"/>
  <c r="E21" i="22"/>
  <c r="H20" i="22"/>
  <c r="G20" i="22"/>
  <c r="F20" i="22"/>
  <c r="E20" i="22"/>
  <c r="H19" i="22"/>
  <c r="G19" i="22"/>
  <c r="F19" i="22"/>
  <c r="E19" i="22"/>
  <c r="H18" i="22"/>
  <c r="G18" i="22"/>
  <c r="F18" i="22"/>
  <c r="E18" i="22"/>
  <c r="H17" i="22"/>
  <c r="G17" i="22"/>
  <c r="F17" i="22"/>
  <c r="E17" i="22"/>
  <c r="H16" i="22"/>
  <c r="G16" i="22"/>
  <c r="F16" i="22"/>
  <c r="E16" i="22"/>
  <c r="H15" i="22"/>
  <c r="G15" i="22"/>
  <c r="F15" i="22"/>
  <c r="E15" i="22"/>
  <c r="H14" i="22"/>
  <c r="G14" i="22"/>
  <c r="F14" i="22"/>
  <c r="E14" i="22"/>
  <c r="H13" i="22"/>
  <c r="G13" i="22"/>
  <c r="F13" i="22"/>
  <c r="E13" i="22"/>
  <c r="H12" i="22"/>
  <c r="G12" i="22"/>
  <c r="F12" i="22"/>
  <c r="E12" i="22"/>
  <c r="H11" i="22"/>
  <c r="G11" i="22"/>
  <c r="F11" i="22"/>
  <c r="E11" i="22"/>
  <c r="H10" i="22"/>
  <c r="G10" i="22"/>
  <c r="F10" i="22"/>
  <c r="E10" i="22"/>
  <c r="H9" i="22"/>
  <c r="G9" i="22"/>
  <c r="F9" i="22"/>
  <c r="E9" i="22"/>
  <c r="H8" i="22"/>
  <c r="G8" i="22"/>
  <c r="F8" i="22"/>
  <c r="E8" i="22"/>
  <c r="H7" i="22"/>
  <c r="G7" i="22"/>
  <c r="F7" i="22"/>
  <c r="E7" i="22"/>
  <c r="H6" i="22"/>
  <c r="G6" i="22"/>
  <c r="F6" i="22"/>
  <c r="E6" i="22"/>
  <c r="H5" i="22"/>
  <c r="G5" i="22"/>
  <c r="F5" i="22"/>
  <c r="E5" i="22"/>
  <c r="C39" i="22"/>
  <c r="C38" i="22"/>
  <c r="C37" i="22"/>
  <c r="C36" i="22"/>
  <c r="C35" i="22"/>
  <c r="C34" i="22"/>
  <c r="C33" i="22"/>
  <c r="C32" i="22"/>
  <c r="C31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E88" i="24"/>
  <c r="E114" i="22" s="1"/>
  <c r="E83" i="24"/>
  <c r="E109" i="22" s="1"/>
  <c r="H40" i="24"/>
  <c r="H42" i="24" s="1"/>
  <c r="H44" i="24" s="1"/>
  <c r="G40" i="24"/>
  <c r="G42" i="24" s="1"/>
  <c r="G44" i="24" s="1"/>
  <c r="F40" i="24"/>
  <c r="F42" i="24" s="1"/>
  <c r="F44" i="24" s="1"/>
  <c r="E40" i="24"/>
  <c r="E42" i="24" s="1"/>
  <c r="E44" i="24" s="1"/>
  <c r="C40" i="24"/>
  <c r="D39" i="24"/>
  <c r="D38" i="24"/>
  <c r="D37" i="24"/>
  <c r="D36" i="24"/>
  <c r="D35" i="24"/>
  <c r="D34" i="24"/>
  <c r="D33" i="24"/>
  <c r="D32" i="24"/>
  <c r="D31" i="24"/>
  <c r="D30" i="24"/>
  <c r="D29" i="24"/>
  <c r="D28" i="24"/>
  <c r="D27" i="24"/>
  <c r="D26" i="24"/>
  <c r="D25" i="24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8" i="24"/>
  <c r="D7" i="24"/>
  <c r="D6" i="24"/>
  <c r="D5" i="24"/>
  <c r="U164" i="23"/>
  <c r="T164" i="23"/>
  <c r="S164" i="23"/>
  <c r="R164" i="23"/>
  <c r="Q164" i="23"/>
  <c r="P164" i="23"/>
  <c r="O164" i="23"/>
  <c r="N164" i="23"/>
  <c r="M164" i="23"/>
  <c r="L164" i="23"/>
  <c r="K164" i="23"/>
  <c r="J164" i="23"/>
  <c r="U161" i="23"/>
  <c r="T161" i="23"/>
  <c r="S161" i="23"/>
  <c r="R161" i="23"/>
  <c r="Q161" i="23"/>
  <c r="P161" i="23"/>
  <c r="O161" i="23"/>
  <c r="N161" i="23"/>
  <c r="M161" i="23"/>
  <c r="L161" i="23"/>
  <c r="K161" i="23"/>
  <c r="J161" i="23"/>
  <c r="U160" i="23"/>
  <c r="T160" i="23"/>
  <c r="S160" i="23"/>
  <c r="R160" i="23"/>
  <c r="Q160" i="23"/>
  <c r="P160" i="23"/>
  <c r="O160" i="23"/>
  <c r="N160" i="23"/>
  <c r="M160" i="23"/>
  <c r="L160" i="23"/>
  <c r="K160" i="23"/>
  <c r="J160" i="23"/>
  <c r="U159" i="23"/>
  <c r="T159" i="23"/>
  <c r="S159" i="23"/>
  <c r="R159" i="23"/>
  <c r="Q159" i="23"/>
  <c r="P159" i="23"/>
  <c r="O159" i="23"/>
  <c r="N159" i="23"/>
  <c r="M159" i="23"/>
  <c r="L159" i="23"/>
  <c r="K159" i="23"/>
  <c r="J159" i="23"/>
  <c r="V47" i="23"/>
  <c r="F16" i="28" l="1"/>
  <c r="D14" i="28"/>
  <c r="E16" i="28"/>
  <c r="F13" i="28"/>
  <c r="D16" i="28"/>
  <c r="E13" i="28"/>
  <c r="F15" i="28"/>
  <c r="D13" i="28"/>
  <c r="E15" i="28"/>
  <c r="D15" i="28"/>
  <c r="F14" i="28"/>
  <c r="E14" i="28"/>
  <c r="J9" i="25"/>
  <c r="G9" i="25"/>
  <c r="D5" i="28"/>
  <c r="D7" i="28"/>
  <c r="D8" i="28"/>
  <c r="C40" i="22"/>
  <c r="G46" i="24"/>
  <c r="H46" i="24"/>
  <c r="E46" i="24"/>
  <c r="I44" i="24"/>
  <c r="F46" i="24"/>
  <c r="D40" i="24"/>
  <c r="I178" i="23"/>
  <c r="V170" i="23"/>
  <c r="W170" i="23" s="1"/>
  <c r="A159" i="23"/>
  <c r="A158" i="23"/>
  <c r="K155" i="23"/>
  <c r="J155" i="23"/>
  <c r="A155" i="23"/>
  <c r="L154" i="23"/>
  <c r="J154" i="23"/>
  <c r="A154" i="23"/>
  <c r="P153" i="23"/>
  <c r="A153" i="23"/>
  <c r="J148" i="23"/>
  <c r="J147" i="23"/>
  <c r="U146" i="23"/>
  <c r="T146" i="23"/>
  <c r="S146" i="23"/>
  <c r="R146" i="23"/>
  <c r="Q146" i="23"/>
  <c r="P146" i="23"/>
  <c r="O146" i="23"/>
  <c r="N146" i="23"/>
  <c r="M146" i="23"/>
  <c r="L146" i="23"/>
  <c r="K146" i="23"/>
  <c r="J146" i="23"/>
  <c r="J145" i="23"/>
  <c r="J144" i="23"/>
  <c r="V139" i="23"/>
  <c r="W139" i="23" s="1"/>
  <c r="U134" i="23"/>
  <c r="U141" i="23" s="1"/>
  <c r="T134" i="23"/>
  <c r="T141" i="23" s="1"/>
  <c r="U148" i="23" s="1"/>
  <c r="S134" i="23"/>
  <c r="S141" i="23" s="1"/>
  <c r="T148" i="23" s="1"/>
  <c r="R134" i="23"/>
  <c r="R141" i="23" s="1"/>
  <c r="S148" i="23" s="1"/>
  <c r="Q134" i="23"/>
  <c r="Q141" i="23" s="1"/>
  <c r="R148" i="23" s="1"/>
  <c r="P134" i="23"/>
  <c r="P141" i="23" s="1"/>
  <c r="Q148" i="23" s="1"/>
  <c r="O134" i="23"/>
  <c r="O141" i="23" s="1"/>
  <c r="P148" i="23" s="1"/>
  <c r="N134" i="23"/>
  <c r="N141" i="23" s="1"/>
  <c r="O148" i="23" s="1"/>
  <c r="M134" i="23"/>
  <c r="M141" i="23" s="1"/>
  <c r="N148" i="23" s="1"/>
  <c r="L134" i="23"/>
  <c r="L141" i="23" s="1"/>
  <c r="M148" i="23" s="1"/>
  <c r="K134" i="23"/>
  <c r="K141" i="23" s="1"/>
  <c r="L148" i="23" s="1"/>
  <c r="J134" i="23"/>
  <c r="Q133" i="23"/>
  <c r="O133" i="23"/>
  <c r="U132" i="23"/>
  <c r="T132" i="23"/>
  <c r="S132" i="23"/>
  <c r="R132" i="23"/>
  <c r="Q132" i="23"/>
  <c r="P132" i="23"/>
  <c r="O132" i="23"/>
  <c r="N132" i="23"/>
  <c r="M132" i="23"/>
  <c r="L132" i="23"/>
  <c r="K132" i="23"/>
  <c r="J132" i="23"/>
  <c r="Q131" i="23"/>
  <c r="U130" i="23"/>
  <c r="J120" i="23"/>
  <c r="J119" i="23"/>
  <c r="J118" i="23"/>
  <c r="J117" i="23"/>
  <c r="J116" i="23"/>
  <c r="A106" i="23"/>
  <c r="A134" i="23" s="1"/>
  <c r="A105" i="23"/>
  <c r="A112" i="23" s="1"/>
  <c r="A119" i="23" s="1"/>
  <c r="A104" i="23"/>
  <c r="A132" i="23" s="1"/>
  <c r="A139" i="23" s="1"/>
  <c r="A146" i="23" s="1"/>
  <c r="A103" i="23"/>
  <c r="I97" i="23" s="1"/>
  <c r="A102" i="23"/>
  <c r="I100" i="23"/>
  <c r="V81" i="23"/>
  <c r="V80" i="23"/>
  <c r="V79" i="23"/>
  <c r="V75" i="23"/>
  <c r="V71" i="23"/>
  <c r="V69" i="23"/>
  <c r="U155" i="23"/>
  <c r="T155" i="23"/>
  <c r="S155" i="23"/>
  <c r="R155" i="23"/>
  <c r="Q155" i="23"/>
  <c r="P155" i="23"/>
  <c r="O155" i="23"/>
  <c r="N155" i="23"/>
  <c r="M155" i="23"/>
  <c r="L155" i="23"/>
  <c r="U154" i="23"/>
  <c r="T154" i="23"/>
  <c r="S154" i="23"/>
  <c r="R154" i="23"/>
  <c r="Q154" i="23"/>
  <c r="P154" i="23"/>
  <c r="O154" i="23"/>
  <c r="N154" i="23"/>
  <c r="M154" i="23"/>
  <c r="K154" i="23"/>
  <c r="V54" i="23"/>
  <c r="U153" i="23"/>
  <c r="T153" i="23"/>
  <c r="S153" i="23"/>
  <c r="R153" i="23"/>
  <c r="O153" i="23"/>
  <c r="N153" i="23"/>
  <c r="M153" i="23"/>
  <c r="L153" i="23"/>
  <c r="K153" i="23"/>
  <c r="J153" i="23"/>
  <c r="V49" i="23"/>
  <c r="A49" i="23"/>
  <c r="A48" i="23"/>
  <c r="A47" i="23"/>
  <c r="A46" i="23"/>
  <c r="A45" i="23"/>
  <c r="V42" i="23"/>
  <c r="A42" i="23"/>
  <c r="A41" i="23"/>
  <c r="V40" i="23"/>
  <c r="A40" i="23"/>
  <c r="A39" i="23"/>
  <c r="A38" i="23"/>
  <c r="I37" i="23"/>
  <c r="V35" i="23"/>
  <c r="A35" i="23"/>
  <c r="S133" i="23"/>
  <c r="S140" i="23" s="1"/>
  <c r="A34" i="23"/>
  <c r="V33" i="23"/>
  <c r="A33" i="23"/>
  <c r="Q138" i="23"/>
  <c r="P131" i="23"/>
  <c r="V32" i="23"/>
  <c r="A32" i="23"/>
  <c r="S130" i="23"/>
  <c r="O130" i="23"/>
  <c r="V31" i="23"/>
  <c r="L30" i="23"/>
  <c r="K130" i="23"/>
  <c r="J130" i="23"/>
  <c r="A31" i="23"/>
  <c r="S30" i="23"/>
  <c r="O30" i="23"/>
  <c r="K30" i="23"/>
  <c r="V28" i="23"/>
  <c r="A28" i="23"/>
  <c r="J27" i="23"/>
  <c r="V27" i="23" s="1"/>
  <c r="A27" i="23"/>
  <c r="V26" i="23"/>
  <c r="A26" i="23"/>
  <c r="J25" i="23"/>
  <c r="A25" i="23"/>
  <c r="J24" i="23"/>
  <c r="V24" i="23" s="1"/>
  <c r="A24" i="23"/>
  <c r="I19" i="23"/>
  <c r="I18" i="23"/>
  <c r="U17" i="23"/>
  <c r="T17" i="23"/>
  <c r="S17" i="23"/>
  <c r="R17" i="23"/>
  <c r="Q17" i="23"/>
  <c r="P17" i="23"/>
  <c r="O17" i="23"/>
  <c r="N17" i="23"/>
  <c r="M17" i="23"/>
  <c r="L17" i="23"/>
  <c r="K17" i="23"/>
  <c r="J17" i="23"/>
  <c r="I17" i="23"/>
  <c r="U16" i="23"/>
  <c r="T16" i="23"/>
  <c r="S16" i="23"/>
  <c r="R16" i="23"/>
  <c r="Q16" i="23"/>
  <c r="P16" i="23"/>
  <c r="O16" i="23"/>
  <c r="N16" i="23"/>
  <c r="M16" i="23"/>
  <c r="L16" i="23"/>
  <c r="K16" i="23"/>
  <c r="J16" i="23"/>
  <c r="I16" i="23"/>
  <c r="U15" i="23"/>
  <c r="T15" i="23"/>
  <c r="S15" i="23"/>
  <c r="R15" i="23"/>
  <c r="Q15" i="23"/>
  <c r="P15" i="23"/>
  <c r="O15" i="23"/>
  <c r="N15" i="23"/>
  <c r="M15" i="23"/>
  <c r="L15" i="23"/>
  <c r="K15" i="23"/>
  <c r="J15" i="23"/>
  <c r="I15" i="23"/>
  <c r="I13" i="23"/>
  <c r="U106" i="23"/>
  <c r="M106" i="23"/>
  <c r="L106" i="23"/>
  <c r="L113" i="23" s="1"/>
  <c r="R104" i="23"/>
  <c r="K104" i="23"/>
  <c r="J104" i="23"/>
  <c r="J5" i="23"/>
  <c r="R17" i="1"/>
  <c r="R16" i="1"/>
  <c r="R15" i="1"/>
  <c r="G103" i="22"/>
  <c r="H103" i="22" s="1"/>
  <c r="G106" i="22"/>
  <c r="H106" i="22" s="1"/>
  <c r="G107" i="22"/>
  <c r="I107" i="22" s="1"/>
  <c r="G108" i="22"/>
  <c r="O108" i="22" s="1"/>
  <c r="G109" i="22"/>
  <c r="G110" i="22"/>
  <c r="J110" i="22" s="1"/>
  <c r="G111" i="22"/>
  <c r="I111" i="22" s="1"/>
  <c r="G112" i="22"/>
  <c r="N112" i="22" s="1"/>
  <c r="K112" i="22"/>
  <c r="G113" i="22"/>
  <c r="O113" i="22" s="1"/>
  <c r="G114" i="22"/>
  <c r="G115" i="22"/>
  <c r="J115" i="22" s="1"/>
  <c r="O115" i="22"/>
  <c r="G116" i="22"/>
  <c r="I116" i="22" s="1"/>
  <c r="S116" i="22"/>
  <c r="G118" i="22"/>
  <c r="K118" i="22" s="1"/>
  <c r="G121" i="22"/>
  <c r="I121" i="22" s="1"/>
  <c r="G122" i="22"/>
  <c r="H122" i="22" s="1"/>
  <c r="G123" i="22"/>
  <c r="H123" i="22" s="1"/>
  <c r="J27" i="1"/>
  <c r="D6" i="28" l="1"/>
  <c r="J116" i="22"/>
  <c r="N115" i="22"/>
  <c r="L121" i="22"/>
  <c r="J108" i="22"/>
  <c r="H116" i="22"/>
  <c r="O103" i="22"/>
  <c r="M116" i="22"/>
  <c r="R116" i="22"/>
  <c r="O116" i="22"/>
  <c r="N116" i="22"/>
  <c r="L116" i="22"/>
  <c r="P116" i="22"/>
  <c r="O112" i="22"/>
  <c r="P111" i="22"/>
  <c r="L103" i="22"/>
  <c r="J121" i="22"/>
  <c r="O111" i="22"/>
  <c r="O110" i="22"/>
  <c r="N106" i="22"/>
  <c r="S121" i="22"/>
  <c r="H121" i="22"/>
  <c r="M112" i="22"/>
  <c r="N111" i="22"/>
  <c r="N110" i="22"/>
  <c r="O107" i="22"/>
  <c r="M106" i="22"/>
  <c r="M103" i="22"/>
  <c r="P121" i="22"/>
  <c r="K116" i="22"/>
  <c r="N113" i="22"/>
  <c r="J112" i="22"/>
  <c r="L111" i="22"/>
  <c r="S106" i="22"/>
  <c r="K106" i="22"/>
  <c r="M111" i="22"/>
  <c r="O121" i="22"/>
  <c r="L113" i="22"/>
  <c r="K111" i="22"/>
  <c r="N108" i="22"/>
  <c r="R106" i="22"/>
  <c r="J106" i="22"/>
  <c r="R121" i="22"/>
  <c r="L106" i="22"/>
  <c r="N121" i="22"/>
  <c r="K113" i="22"/>
  <c r="S111" i="22"/>
  <c r="J111" i="22"/>
  <c r="L108" i="22"/>
  <c r="Q106" i="22"/>
  <c r="I106" i="22"/>
  <c r="O106" i="22"/>
  <c r="M121" i="22"/>
  <c r="J113" i="22"/>
  <c r="R111" i="22"/>
  <c r="H111" i="22"/>
  <c r="K108" i="22"/>
  <c r="P106" i="22"/>
  <c r="I46" i="24"/>
  <c r="J23" i="23"/>
  <c r="A133" i="23"/>
  <c r="W49" i="23"/>
  <c r="A110" i="23"/>
  <c r="A117" i="23" s="1"/>
  <c r="I99" i="23"/>
  <c r="S152" i="23"/>
  <c r="K152" i="23"/>
  <c r="L152" i="23"/>
  <c r="T152" i="23"/>
  <c r="V132" i="23"/>
  <c r="W132" i="23" s="1"/>
  <c r="V146" i="23"/>
  <c r="W146" i="23" s="1"/>
  <c r="P152" i="23"/>
  <c r="M152" i="23"/>
  <c r="U152" i="23"/>
  <c r="R133" i="23"/>
  <c r="R140" i="23" s="1"/>
  <c r="T147" i="23" s="1"/>
  <c r="A130" i="23"/>
  <c r="I96" i="23"/>
  <c r="A109" i="23"/>
  <c r="A116" i="23" s="1"/>
  <c r="K5" i="23"/>
  <c r="M104" i="23"/>
  <c r="M111" i="23" s="1"/>
  <c r="N118" i="23" s="1"/>
  <c r="O106" i="23"/>
  <c r="O113" i="23" s="1"/>
  <c r="Q130" i="23"/>
  <c r="Q123" i="23" s="1"/>
  <c r="Q30" i="23"/>
  <c r="K131" i="23"/>
  <c r="K138" i="23" s="1"/>
  <c r="S131" i="23"/>
  <c r="S138" i="23" s="1"/>
  <c r="K133" i="23"/>
  <c r="K140" i="23" s="1"/>
  <c r="M147" i="23" s="1"/>
  <c r="N152" i="23"/>
  <c r="V53" i="23"/>
  <c r="W53" i="23" s="1"/>
  <c r="V56" i="23"/>
  <c r="W56" i="23" s="1"/>
  <c r="V77" i="23"/>
  <c r="N104" i="23"/>
  <c r="N111" i="23" s="1"/>
  <c r="O118" i="23" s="1"/>
  <c r="N30" i="23"/>
  <c r="L131" i="23"/>
  <c r="L138" i="23" s="1"/>
  <c r="T133" i="23"/>
  <c r="T140" i="23" s="1"/>
  <c r="U147" i="23" s="1"/>
  <c r="O152" i="23"/>
  <c r="V154" i="23"/>
  <c r="W154" i="23" s="1"/>
  <c r="N106" i="23"/>
  <c r="N113" i="23" s="1"/>
  <c r="P120" i="23" s="1"/>
  <c r="L104" i="23"/>
  <c r="L111" i="23" s="1"/>
  <c r="M118" i="23" s="1"/>
  <c r="P130" i="23"/>
  <c r="P137" i="23" s="1"/>
  <c r="J133" i="23"/>
  <c r="J140" i="23" s="1"/>
  <c r="K147" i="23" s="1"/>
  <c r="L133" i="23"/>
  <c r="L140" i="23" s="1"/>
  <c r="Q106" i="23"/>
  <c r="Q113" i="23" s="1"/>
  <c r="V68" i="23"/>
  <c r="I128" i="23"/>
  <c r="A141" i="23"/>
  <c r="A148" i="23" s="1"/>
  <c r="J111" i="23"/>
  <c r="P138" i="23"/>
  <c r="R145" i="23" s="1"/>
  <c r="V11" i="23"/>
  <c r="J137" i="23"/>
  <c r="O104" i="23"/>
  <c r="O111" i="23" s="1"/>
  <c r="P118" i="23" s="1"/>
  <c r="Q104" i="23"/>
  <c r="Q111" i="23" s="1"/>
  <c r="R118" i="23" s="1"/>
  <c r="J106" i="23"/>
  <c r="R106" i="23"/>
  <c r="R113" i="23" s="1"/>
  <c r="P104" i="23"/>
  <c r="P111" i="23" s="1"/>
  <c r="Q118" i="23" s="1"/>
  <c r="P30" i="23"/>
  <c r="L130" i="23"/>
  <c r="T130" i="23"/>
  <c r="N131" i="23"/>
  <c r="N138" i="23" s="1"/>
  <c r="N133" i="23"/>
  <c r="N140" i="23" s="1"/>
  <c r="P147" i="23" s="1"/>
  <c r="V34" i="23"/>
  <c r="V30" i="23" s="1"/>
  <c r="V72" i="23"/>
  <c r="V74" i="23"/>
  <c r="R111" i="23"/>
  <c r="S118" i="23" s="1"/>
  <c r="J141" i="23"/>
  <c r="V134" i="23"/>
  <c r="W134" i="23" s="1"/>
  <c r="V9" i="23"/>
  <c r="T104" i="23"/>
  <c r="T111" i="23" s="1"/>
  <c r="U118" i="23" s="1"/>
  <c r="J131" i="23"/>
  <c r="R131" i="23"/>
  <c r="R138" i="23" s="1"/>
  <c r="T145" i="23" s="1"/>
  <c r="J102" i="23"/>
  <c r="R130" i="23"/>
  <c r="R137" i="23" s="1"/>
  <c r="T131" i="23"/>
  <c r="T138" i="23" s="1"/>
  <c r="K27" i="23"/>
  <c r="K106" i="23"/>
  <c r="K113" i="23" s="1"/>
  <c r="M120" i="23" s="1"/>
  <c r="S106" i="23"/>
  <c r="S113" i="23" s="1"/>
  <c r="R30" i="23"/>
  <c r="M130" i="23"/>
  <c r="M30" i="23"/>
  <c r="U137" i="23"/>
  <c r="U30" i="23"/>
  <c r="O131" i="23"/>
  <c r="O138" i="23" s="1"/>
  <c r="Q145" i="23" s="1"/>
  <c r="O140" i="23"/>
  <c r="R152" i="23"/>
  <c r="V65" i="23"/>
  <c r="W65" i="23" s="1"/>
  <c r="V76" i="23"/>
  <c r="V78" i="23"/>
  <c r="J143" i="23"/>
  <c r="J152" i="23"/>
  <c r="P133" i="23"/>
  <c r="P140" i="23" s="1"/>
  <c r="K25" i="23"/>
  <c r="K111" i="23"/>
  <c r="L118" i="23" s="1"/>
  <c r="N130" i="23"/>
  <c r="N137" i="23" s="1"/>
  <c r="U104" i="23"/>
  <c r="U111" i="23" s="1"/>
  <c r="M113" i="23"/>
  <c r="U113" i="23"/>
  <c r="V25" i="23"/>
  <c r="V23" i="23" s="1"/>
  <c r="J30" i="23"/>
  <c r="T30" i="23"/>
  <c r="V67" i="23"/>
  <c r="W67" i="23" s="1"/>
  <c r="S104" i="23"/>
  <c r="S111" i="23" s="1"/>
  <c r="T118" i="23" s="1"/>
  <c r="Q140" i="23"/>
  <c r="S147" i="23" s="1"/>
  <c r="V55" i="23"/>
  <c r="W55" i="23" s="1"/>
  <c r="V160" i="23"/>
  <c r="W160" i="23" s="1"/>
  <c r="V64" i="23"/>
  <c r="K137" i="23"/>
  <c r="Q153" i="23"/>
  <c r="Q152" i="23" s="1"/>
  <c r="V159" i="23"/>
  <c r="W159" i="23" s="1"/>
  <c r="A131" i="23"/>
  <c r="P106" i="23"/>
  <c r="P113" i="23" s="1"/>
  <c r="R120" i="23" s="1"/>
  <c r="U131" i="23"/>
  <c r="U138" i="23" s="1"/>
  <c r="V178" i="23"/>
  <c r="I179" i="23"/>
  <c r="J178" i="23" s="1"/>
  <c r="A140" i="23"/>
  <c r="A147" i="23" s="1"/>
  <c r="I127" i="23"/>
  <c r="O137" i="23"/>
  <c r="K123" i="23"/>
  <c r="S123" i="23"/>
  <c r="V66" i="23"/>
  <c r="W66" i="23" s="1"/>
  <c r="I98" i="23"/>
  <c r="A113" i="23"/>
  <c r="A120" i="23" s="1"/>
  <c r="J115" i="23"/>
  <c r="I126" i="23"/>
  <c r="M131" i="23"/>
  <c r="M138" i="23" s="1"/>
  <c r="O145" i="23" s="1"/>
  <c r="U133" i="23"/>
  <c r="U140" i="23" s="1"/>
  <c r="T106" i="23"/>
  <c r="T113" i="23" s="1"/>
  <c r="A111" i="23"/>
  <c r="A118" i="23" s="1"/>
  <c r="M133" i="23"/>
  <c r="M140" i="23" s="1"/>
  <c r="S137" i="23"/>
  <c r="V155" i="23"/>
  <c r="W155" i="23" s="1"/>
  <c r="V169" i="23"/>
  <c r="L109" i="22"/>
  <c r="R109" i="22"/>
  <c r="M109" i="22"/>
  <c r="N109" i="22"/>
  <c r="Q109" i="22"/>
  <c r="J109" i="22"/>
  <c r="O109" i="22"/>
  <c r="I109" i="22"/>
  <c r="H109" i="22"/>
  <c r="P109" i="22"/>
  <c r="K109" i="22"/>
  <c r="S109" i="22"/>
  <c r="L114" i="22"/>
  <c r="J114" i="22"/>
  <c r="M114" i="22"/>
  <c r="N114" i="22"/>
  <c r="I114" i="22"/>
  <c r="O114" i="22"/>
  <c r="H114" i="22"/>
  <c r="P114" i="22"/>
  <c r="K114" i="22"/>
  <c r="S114" i="22"/>
  <c r="Q114" i="22"/>
  <c r="R114" i="22"/>
  <c r="J118" i="22"/>
  <c r="M113" i="22"/>
  <c r="L112" i="22"/>
  <c r="M108" i="22"/>
  <c r="P107" i="22"/>
  <c r="H107" i="22"/>
  <c r="N103" i="22"/>
  <c r="C129" i="22"/>
  <c r="O118" i="22"/>
  <c r="M115" i="22"/>
  <c r="M110" i="22"/>
  <c r="M107" i="22"/>
  <c r="S103" i="22"/>
  <c r="K103" i="22"/>
  <c r="N107" i="22"/>
  <c r="K121" i="22"/>
  <c r="N118" i="22"/>
  <c r="L115" i="22"/>
  <c r="L110" i="22"/>
  <c r="L107" i="22"/>
  <c r="R103" i="22"/>
  <c r="J103" i="22"/>
  <c r="M118" i="22"/>
  <c r="K115" i="22"/>
  <c r="K110" i="22"/>
  <c r="S107" i="22"/>
  <c r="K107" i="22"/>
  <c r="Q103" i="22"/>
  <c r="I103" i="22"/>
  <c r="Q121" i="22"/>
  <c r="L118" i="22"/>
  <c r="Q116" i="22"/>
  <c r="Q111" i="22"/>
  <c r="R107" i="22"/>
  <c r="J107" i="22"/>
  <c r="P103" i="22"/>
  <c r="Q107" i="22"/>
  <c r="R64" i="22"/>
  <c r="Q64" i="22"/>
  <c r="P64" i="22"/>
  <c r="O64" i="22"/>
  <c r="R63" i="22"/>
  <c r="Q63" i="22"/>
  <c r="P63" i="22"/>
  <c r="O63" i="22"/>
  <c r="R62" i="22"/>
  <c r="Q62" i="22"/>
  <c r="P62" i="22"/>
  <c r="O62" i="22"/>
  <c r="R61" i="22"/>
  <c r="Q61" i="22"/>
  <c r="P61" i="22"/>
  <c r="O61" i="22"/>
  <c r="H40" i="22"/>
  <c r="H42" i="22" s="1"/>
  <c r="H44" i="22" s="1"/>
  <c r="H46" i="22" s="1"/>
  <c r="G40" i="22"/>
  <c r="F40" i="22"/>
  <c r="E40" i="22"/>
  <c r="D39" i="22"/>
  <c r="D38" i="22"/>
  <c r="D37" i="22"/>
  <c r="D36" i="22"/>
  <c r="D35" i="22"/>
  <c r="D34" i="22"/>
  <c r="D33" i="22"/>
  <c r="D32" i="22"/>
  <c r="D31" i="22"/>
  <c r="D30" i="22"/>
  <c r="D29" i="22"/>
  <c r="D28" i="22"/>
  <c r="D27" i="22"/>
  <c r="D26" i="22"/>
  <c r="D25" i="22"/>
  <c r="D24" i="22"/>
  <c r="D23" i="22"/>
  <c r="D22" i="22"/>
  <c r="D21" i="22"/>
  <c r="D20" i="22"/>
  <c r="D19" i="22"/>
  <c r="D18" i="22"/>
  <c r="D17" i="22"/>
  <c r="D16" i="22"/>
  <c r="D15" i="22"/>
  <c r="D14" i="22"/>
  <c r="D13" i="22"/>
  <c r="D12" i="22"/>
  <c r="D11" i="22"/>
  <c r="D10" i="22"/>
  <c r="D9" i="22"/>
  <c r="D8" i="22"/>
  <c r="D7" i="22"/>
  <c r="D6" i="22"/>
  <c r="D5" i="22"/>
  <c r="L13" i="2"/>
  <c r="K14" i="2"/>
  <c r="K15" i="2"/>
  <c r="K16" i="2"/>
  <c r="K17" i="2"/>
  <c r="U133" i="1"/>
  <c r="T133" i="1"/>
  <c r="S133" i="1"/>
  <c r="R133" i="1"/>
  <c r="Q133" i="1"/>
  <c r="P133" i="1"/>
  <c r="O133" i="1"/>
  <c r="N133" i="1"/>
  <c r="M133" i="1"/>
  <c r="L133" i="1"/>
  <c r="K133" i="1"/>
  <c r="J133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N16" i="20"/>
  <c r="M16" i="20"/>
  <c r="L16" i="20"/>
  <c r="K16" i="20"/>
  <c r="J16" i="20"/>
  <c r="I16" i="20"/>
  <c r="H16" i="20"/>
  <c r="G16" i="20"/>
  <c r="F16" i="20"/>
  <c r="E16" i="20"/>
  <c r="D16" i="20"/>
  <c r="C16" i="20"/>
  <c r="N15" i="20"/>
  <c r="M15" i="20"/>
  <c r="L15" i="20"/>
  <c r="K15" i="20"/>
  <c r="J15" i="20"/>
  <c r="I15" i="20"/>
  <c r="H15" i="20"/>
  <c r="G15" i="20"/>
  <c r="F15" i="20"/>
  <c r="E15" i="20"/>
  <c r="D15" i="20"/>
  <c r="C15" i="20"/>
  <c r="N14" i="20"/>
  <c r="M14" i="20"/>
  <c r="L14" i="20"/>
  <c r="K14" i="20"/>
  <c r="J14" i="20"/>
  <c r="I14" i="20"/>
  <c r="H14" i="20"/>
  <c r="G14" i="20"/>
  <c r="F14" i="20"/>
  <c r="E14" i="20"/>
  <c r="D14" i="20"/>
  <c r="C14" i="20"/>
  <c r="N13" i="20"/>
  <c r="M13" i="20"/>
  <c r="L13" i="20"/>
  <c r="K13" i="20"/>
  <c r="J13" i="20"/>
  <c r="I13" i="20"/>
  <c r="H13" i="20"/>
  <c r="G13" i="20"/>
  <c r="F13" i="20"/>
  <c r="E13" i="20"/>
  <c r="D13" i="20"/>
  <c r="C13" i="20"/>
  <c r="N12" i="20"/>
  <c r="M12" i="20"/>
  <c r="L12" i="20"/>
  <c r="K12" i="20"/>
  <c r="J12" i="20"/>
  <c r="I12" i="20"/>
  <c r="H12" i="20"/>
  <c r="G12" i="20"/>
  <c r="F12" i="20"/>
  <c r="E12" i="20"/>
  <c r="D12" i="20"/>
  <c r="C12" i="20"/>
  <c r="N11" i="20"/>
  <c r="M11" i="20"/>
  <c r="L11" i="20"/>
  <c r="K11" i="20"/>
  <c r="J11" i="20"/>
  <c r="I11" i="20"/>
  <c r="H11" i="20"/>
  <c r="G11" i="20"/>
  <c r="F11" i="20"/>
  <c r="E11" i="20"/>
  <c r="D11" i="20"/>
  <c r="C11" i="20"/>
  <c r="N10" i="20"/>
  <c r="M10" i="20"/>
  <c r="L10" i="20"/>
  <c r="K10" i="20"/>
  <c r="J10" i="20"/>
  <c r="I10" i="20"/>
  <c r="H10" i="20"/>
  <c r="G10" i="20"/>
  <c r="F10" i="20"/>
  <c r="E10" i="20"/>
  <c r="D10" i="20"/>
  <c r="C10" i="20"/>
  <c r="N9" i="20"/>
  <c r="M9" i="20"/>
  <c r="L9" i="20"/>
  <c r="K9" i="20"/>
  <c r="J9" i="20"/>
  <c r="I9" i="20"/>
  <c r="H9" i="20"/>
  <c r="G9" i="20"/>
  <c r="F9" i="20"/>
  <c r="E9" i="20"/>
  <c r="D9" i="20"/>
  <c r="C9" i="20"/>
  <c r="N8" i="20"/>
  <c r="M8" i="20"/>
  <c r="L8" i="20"/>
  <c r="K8" i="20"/>
  <c r="J8" i="20"/>
  <c r="I8" i="20"/>
  <c r="H8" i="20"/>
  <c r="G8" i="20"/>
  <c r="F8" i="20"/>
  <c r="E8" i="20"/>
  <c r="D8" i="20"/>
  <c r="C8" i="20"/>
  <c r="N7" i="20"/>
  <c r="M7" i="20"/>
  <c r="L7" i="20"/>
  <c r="K7" i="20"/>
  <c r="J7" i="20"/>
  <c r="I7" i="20"/>
  <c r="H7" i="20"/>
  <c r="G7" i="20"/>
  <c r="F7" i="20"/>
  <c r="E7" i="20"/>
  <c r="D7" i="20"/>
  <c r="C7" i="20"/>
  <c r="N6" i="20"/>
  <c r="M6" i="20"/>
  <c r="L6" i="20"/>
  <c r="K6" i="20"/>
  <c r="J6" i="20"/>
  <c r="I6" i="20"/>
  <c r="H6" i="20"/>
  <c r="G6" i="20"/>
  <c r="F6" i="20"/>
  <c r="E6" i="20"/>
  <c r="D6" i="20"/>
  <c r="C6" i="20"/>
  <c r="N5" i="20"/>
  <c r="M5" i="20"/>
  <c r="L5" i="20"/>
  <c r="K5" i="20"/>
  <c r="J5" i="20"/>
  <c r="I5" i="20"/>
  <c r="H5" i="20"/>
  <c r="G5" i="20"/>
  <c r="F5" i="20"/>
  <c r="E5" i="20"/>
  <c r="D5" i="20"/>
  <c r="C5" i="20"/>
  <c r="M32" i="20"/>
  <c r="I32" i="20"/>
  <c r="G32" i="20"/>
  <c r="E32" i="20"/>
  <c r="M31" i="20"/>
  <c r="K31" i="20"/>
  <c r="G31" i="20"/>
  <c r="E31" i="20"/>
  <c r="M30" i="20"/>
  <c r="I30" i="20"/>
  <c r="G30" i="20"/>
  <c r="E30" i="20"/>
  <c r="M29" i="20"/>
  <c r="K29" i="20"/>
  <c r="G29" i="20"/>
  <c r="E29" i="20"/>
  <c r="M28" i="20"/>
  <c r="I28" i="20"/>
  <c r="G28" i="20"/>
  <c r="E28" i="20"/>
  <c r="M27" i="20"/>
  <c r="K27" i="20"/>
  <c r="H27" i="20"/>
  <c r="E27" i="20"/>
  <c r="M26" i="20"/>
  <c r="I26" i="20"/>
  <c r="G26" i="20"/>
  <c r="E26" i="20"/>
  <c r="M25" i="20"/>
  <c r="K25" i="20"/>
  <c r="G25" i="20"/>
  <c r="E25" i="20"/>
  <c r="M24" i="20"/>
  <c r="I24" i="20"/>
  <c r="G24" i="20"/>
  <c r="E24" i="20"/>
  <c r="M23" i="20"/>
  <c r="K23" i="20"/>
  <c r="H23" i="20"/>
  <c r="E23" i="20"/>
  <c r="M22" i="20"/>
  <c r="I22" i="20"/>
  <c r="G22" i="20"/>
  <c r="E22" i="20"/>
  <c r="M21" i="20"/>
  <c r="K21" i="20"/>
  <c r="G21" i="20"/>
  <c r="D21" i="20"/>
  <c r="T120" i="23" l="1"/>
  <c r="Q120" i="23"/>
  <c r="S120" i="23"/>
  <c r="U120" i="23"/>
  <c r="O120" i="23"/>
  <c r="N120" i="23"/>
  <c r="Q147" i="23"/>
  <c r="R147" i="23"/>
  <c r="N147" i="23"/>
  <c r="O147" i="23"/>
  <c r="P145" i="23"/>
  <c r="N145" i="23"/>
  <c r="U145" i="23"/>
  <c r="M145" i="23"/>
  <c r="S145" i="23"/>
  <c r="J123" i="23"/>
  <c r="J150" i="23" s="1"/>
  <c r="O123" i="23"/>
  <c r="L25" i="23"/>
  <c r="K46" i="23"/>
  <c r="J105" i="23"/>
  <c r="J48" i="23"/>
  <c r="I125" i="23"/>
  <c r="A138" i="23"/>
  <c r="A145" i="23" s="1"/>
  <c r="O144" i="23"/>
  <c r="N136" i="23"/>
  <c r="J46" i="23"/>
  <c r="U136" i="23"/>
  <c r="V141" i="23"/>
  <c r="W141" i="23" s="1"/>
  <c r="K148" i="23"/>
  <c r="V148" i="23" s="1"/>
  <c r="W148" i="23" s="1"/>
  <c r="L123" i="23"/>
  <c r="V106" i="23"/>
  <c r="W106" i="23" s="1"/>
  <c r="L147" i="23"/>
  <c r="V140" i="23"/>
  <c r="W140" i="23" s="1"/>
  <c r="I124" i="23"/>
  <c r="A137" i="23"/>
  <c r="A144" i="23" s="1"/>
  <c r="U123" i="23"/>
  <c r="V104" i="23"/>
  <c r="W104" i="23" s="1"/>
  <c r="W169" i="23"/>
  <c r="R123" i="23"/>
  <c r="J103" i="23"/>
  <c r="J110" i="23" s="1"/>
  <c r="L137" i="23"/>
  <c r="J113" i="23"/>
  <c r="K120" i="23" s="1"/>
  <c r="V133" i="23"/>
  <c r="W133" i="23" s="1"/>
  <c r="V152" i="23"/>
  <c r="M123" i="23"/>
  <c r="L27" i="23"/>
  <c r="R136" i="23"/>
  <c r="S144" i="23"/>
  <c r="V131" i="23"/>
  <c r="W131" i="23" s="1"/>
  <c r="S136" i="23"/>
  <c r="T144" i="23"/>
  <c r="T143" i="23" s="1"/>
  <c r="K136" i="23"/>
  <c r="L144" i="23"/>
  <c r="V153" i="23"/>
  <c r="W153" i="23" s="1"/>
  <c r="M137" i="23"/>
  <c r="K24" i="23"/>
  <c r="J37" i="23"/>
  <c r="J45" i="23"/>
  <c r="J13" i="23"/>
  <c r="J138" i="23"/>
  <c r="P123" i="23"/>
  <c r="Q144" i="23"/>
  <c r="P136" i="23"/>
  <c r="L5" i="23"/>
  <c r="V161" i="23"/>
  <c r="W161" i="23" s="1"/>
  <c r="J109" i="23"/>
  <c r="K118" i="23"/>
  <c r="V118" i="23" s="1"/>
  <c r="W118" i="23" s="1"/>
  <c r="V111" i="23"/>
  <c r="W111" i="23" s="1"/>
  <c r="W64" i="23"/>
  <c r="K144" i="23"/>
  <c r="Q137" i="23"/>
  <c r="P144" i="23"/>
  <c r="O136" i="23"/>
  <c r="N123" i="23"/>
  <c r="T137" i="23"/>
  <c r="T123" i="23"/>
  <c r="V130" i="23"/>
  <c r="W130" i="23" s="1"/>
  <c r="H73" i="22"/>
  <c r="F73" i="22"/>
  <c r="M73" i="22"/>
  <c r="E73" i="22"/>
  <c r="D73" i="22"/>
  <c r="C73" i="22"/>
  <c r="J73" i="22"/>
  <c r="G73" i="22"/>
  <c r="N73" i="22"/>
  <c r="L73" i="22"/>
  <c r="K73" i="22"/>
  <c r="I73" i="22"/>
  <c r="F42" i="22"/>
  <c r="F44" i="22" s="1"/>
  <c r="F46" i="22" s="1"/>
  <c r="E42" i="22"/>
  <c r="E44" i="22" s="1"/>
  <c r="G42" i="22"/>
  <c r="G44" i="22" s="1"/>
  <c r="G46" i="22" s="1"/>
  <c r="D40" i="22"/>
  <c r="L31" i="20"/>
  <c r="L47" i="20" s="1"/>
  <c r="M46" i="20"/>
  <c r="F25" i="20"/>
  <c r="F41" i="20" s="1"/>
  <c r="J32" i="20"/>
  <c r="J48" i="20" s="1"/>
  <c r="M42" i="20"/>
  <c r="J28" i="20"/>
  <c r="J44" i="20" s="1"/>
  <c r="M44" i="20"/>
  <c r="F29" i="20"/>
  <c r="F45" i="20" s="1"/>
  <c r="M40" i="20"/>
  <c r="D37" i="20"/>
  <c r="K39" i="20"/>
  <c r="K41" i="20"/>
  <c r="K43" i="20"/>
  <c r="F21" i="20"/>
  <c r="F37" i="20" s="1"/>
  <c r="M38" i="20"/>
  <c r="J24" i="20"/>
  <c r="J40" i="20" s="1"/>
  <c r="J22" i="20"/>
  <c r="J38" i="20" s="1"/>
  <c r="J26" i="20"/>
  <c r="J42" i="20" s="1"/>
  <c r="J30" i="20"/>
  <c r="J46" i="20" s="1"/>
  <c r="F23" i="20"/>
  <c r="F39" i="20" s="1"/>
  <c r="F27" i="20"/>
  <c r="F43" i="20" s="1"/>
  <c r="F31" i="20"/>
  <c r="F47" i="20" s="1"/>
  <c r="G48" i="20"/>
  <c r="L23" i="20"/>
  <c r="L39" i="20" s="1"/>
  <c r="L27" i="20"/>
  <c r="L43" i="20" s="1"/>
  <c r="G46" i="20"/>
  <c r="N23" i="20"/>
  <c r="N39" i="20" s="1"/>
  <c r="N27" i="20"/>
  <c r="N43" i="20" s="1"/>
  <c r="N31" i="20"/>
  <c r="N47" i="20" s="1"/>
  <c r="L21" i="20"/>
  <c r="L37" i="20" s="1"/>
  <c r="L25" i="20"/>
  <c r="L41" i="20" s="1"/>
  <c r="L29" i="20"/>
  <c r="L45" i="20" s="1"/>
  <c r="M39" i="20"/>
  <c r="M41" i="20"/>
  <c r="M43" i="20"/>
  <c r="M45" i="20"/>
  <c r="M47" i="20"/>
  <c r="N21" i="20"/>
  <c r="N37" i="20" s="1"/>
  <c r="N25" i="20"/>
  <c r="N41" i="20" s="1"/>
  <c r="N29" i="20"/>
  <c r="N45" i="20" s="1"/>
  <c r="K45" i="20"/>
  <c r="M37" i="20"/>
  <c r="F22" i="20"/>
  <c r="F38" i="20" s="1"/>
  <c r="F24" i="20"/>
  <c r="F40" i="20" s="1"/>
  <c r="F26" i="20"/>
  <c r="F42" i="20" s="1"/>
  <c r="F28" i="20"/>
  <c r="F44" i="20" s="1"/>
  <c r="F30" i="20"/>
  <c r="F46" i="20" s="1"/>
  <c r="F32" i="20"/>
  <c r="F48" i="20" s="1"/>
  <c r="H39" i="20"/>
  <c r="E38" i="20"/>
  <c r="E40" i="20"/>
  <c r="E42" i="20"/>
  <c r="E44" i="20"/>
  <c r="E46" i="20"/>
  <c r="E48" i="20"/>
  <c r="H22" i="20"/>
  <c r="H38" i="20" s="1"/>
  <c r="H24" i="20"/>
  <c r="H40" i="20" s="1"/>
  <c r="H26" i="20"/>
  <c r="H42" i="20" s="1"/>
  <c r="H28" i="20"/>
  <c r="H44" i="20" s="1"/>
  <c r="H30" i="20"/>
  <c r="H46" i="20" s="1"/>
  <c r="H32" i="20"/>
  <c r="H48" i="20" s="1"/>
  <c r="K22" i="20"/>
  <c r="K38" i="20" s="1"/>
  <c r="K24" i="20"/>
  <c r="K40" i="20" s="1"/>
  <c r="K26" i="20"/>
  <c r="K42" i="20" s="1"/>
  <c r="K28" i="20"/>
  <c r="K44" i="20" s="1"/>
  <c r="K30" i="20"/>
  <c r="K46" i="20" s="1"/>
  <c r="K32" i="20"/>
  <c r="K48" i="20" s="1"/>
  <c r="N22" i="20"/>
  <c r="N38" i="20" s="1"/>
  <c r="N24" i="20"/>
  <c r="N40" i="20" s="1"/>
  <c r="N26" i="20"/>
  <c r="N42" i="20" s="1"/>
  <c r="N28" i="20"/>
  <c r="N44" i="20" s="1"/>
  <c r="N30" i="20"/>
  <c r="N46" i="20" s="1"/>
  <c r="N32" i="20"/>
  <c r="N48" i="20" s="1"/>
  <c r="G38" i="20"/>
  <c r="G44" i="20"/>
  <c r="G40" i="20"/>
  <c r="G42" i="20"/>
  <c r="H43" i="20"/>
  <c r="K47" i="20"/>
  <c r="I38" i="20"/>
  <c r="I40" i="20"/>
  <c r="I42" i="20"/>
  <c r="E43" i="20"/>
  <c r="I44" i="20"/>
  <c r="E45" i="20"/>
  <c r="I46" i="20"/>
  <c r="E47" i="20"/>
  <c r="I48" i="20"/>
  <c r="E39" i="20"/>
  <c r="E41" i="20"/>
  <c r="G41" i="20"/>
  <c r="G45" i="20"/>
  <c r="G47" i="20"/>
  <c r="M48" i="20"/>
  <c r="C22" i="20"/>
  <c r="C38" i="20" s="1"/>
  <c r="G23" i="20"/>
  <c r="G39" i="20" s="1"/>
  <c r="C26" i="20"/>
  <c r="C42" i="20" s="1"/>
  <c r="G27" i="20"/>
  <c r="G43" i="20" s="1"/>
  <c r="C30" i="20"/>
  <c r="C46" i="20" s="1"/>
  <c r="H21" i="20"/>
  <c r="H37" i="20" s="1"/>
  <c r="D22" i="20"/>
  <c r="D38" i="20" s="1"/>
  <c r="L22" i="20"/>
  <c r="L38" i="20" s="1"/>
  <c r="D24" i="20"/>
  <c r="D40" i="20" s="1"/>
  <c r="L24" i="20"/>
  <c r="L40" i="20" s="1"/>
  <c r="H25" i="20"/>
  <c r="H41" i="20" s="1"/>
  <c r="D26" i="20"/>
  <c r="D42" i="20" s="1"/>
  <c r="L26" i="20"/>
  <c r="L42" i="20" s="1"/>
  <c r="D28" i="20"/>
  <c r="D44" i="20" s="1"/>
  <c r="L28" i="20"/>
  <c r="L44" i="20" s="1"/>
  <c r="H29" i="20"/>
  <c r="H45" i="20" s="1"/>
  <c r="D30" i="20"/>
  <c r="D46" i="20" s="1"/>
  <c r="L30" i="20"/>
  <c r="L46" i="20" s="1"/>
  <c r="H31" i="20"/>
  <c r="H47" i="20" s="1"/>
  <c r="D32" i="20"/>
  <c r="D48" i="20" s="1"/>
  <c r="L32" i="20"/>
  <c r="L48" i="20" s="1"/>
  <c r="C24" i="20"/>
  <c r="C40" i="20" s="1"/>
  <c r="C28" i="20"/>
  <c r="C44" i="20" s="1"/>
  <c r="C32" i="20"/>
  <c r="C48" i="20" s="1"/>
  <c r="I21" i="20"/>
  <c r="I37" i="20" s="1"/>
  <c r="I23" i="20"/>
  <c r="I39" i="20" s="1"/>
  <c r="I25" i="20"/>
  <c r="I41" i="20" s="1"/>
  <c r="I27" i="20"/>
  <c r="I43" i="20" s="1"/>
  <c r="I29" i="20"/>
  <c r="I45" i="20" s="1"/>
  <c r="I31" i="20"/>
  <c r="I47" i="20" s="1"/>
  <c r="J27" i="20"/>
  <c r="J43" i="20" s="1"/>
  <c r="J29" i="20"/>
  <c r="J45" i="20" s="1"/>
  <c r="J31" i="20"/>
  <c r="J47" i="20" s="1"/>
  <c r="J21" i="20"/>
  <c r="J37" i="20" s="1"/>
  <c r="J23" i="20"/>
  <c r="J39" i="20" s="1"/>
  <c r="J25" i="20"/>
  <c r="J41" i="20" s="1"/>
  <c r="C21" i="20"/>
  <c r="C37" i="20" s="1"/>
  <c r="C23" i="20"/>
  <c r="C39" i="20" s="1"/>
  <c r="C25" i="20"/>
  <c r="C41" i="20" s="1"/>
  <c r="C27" i="20"/>
  <c r="C43" i="20" s="1"/>
  <c r="C29" i="20"/>
  <c r="C45" i="20" s="1"/>
  <c r="C31" i="20"/>
  <c r="C47" i="20" s="1"/>
  <c r="D23" i="20"/>
  <c r="D39" i="20" s="1"/>
  <c r="D25" i="20"/>
  <c r="D41" i="20" s="1"/>
  <c r="D27" i="20"/>
  <c r="D43" i="20" s="1"/>
  <c r="D29" i="20"/>
  <c r="D45" i="20" s="1"/>
  <c r="D31" i="20"/>
  <c r="D47" i="20" s="1"/>
  <c r="E21" i="20"/>
  <c r="E37" i="20" s="1"/>
  <c r="K37" i="20"/>
  <c r="G37" i="20"/>
  <c r="S80" i="1"/>
  <c r="R80" i="1"/>
  <c r="O80" i="1"/>
  <c r="J80" i="1"/>
  <c r="U79" i="1"/>
  <c r="R79" i="1"/>
  <c r="N79" i="1"/>
  <c r="L79" i="1"/>
  <c r="U78" i="1"/>
  <c r="P78" i="1"/>
  <c r="O78" i="1"/>
  <c r="K78" i="1"/>
  <c r="C72" i="18"/>
  <c r="F4" i="18" s="1"/>
  <c r="D72" i="18"/>
  <c r="I79" i="15"/>
  <c r="I78" i="15"/>
  <c r="I77" i="15"/>
  <c r="O143" i="23" l="1"/>
  <c r="O150" i="23" s="1"/>
  <c r="Q143" i="23"/>
  <c r="Q150" i="23" s="1"/>
  <c r="P143" i="23"/>
  <c r="P150" i="23" s="1"/>
  <c r="S143" i="23"/>
  <c r="S150" i="23" s="1"/>
  <c r="V147" i="23"/>
  <c r="W147" i="23" s="1"/>
  <c r="J136" i="23"/>
  <c r="K145" i="23"/>
  <c r="K143" i="23" s="1"/>
  <c r="K150" i="23" s="1"/>
  <c r="K45" i="23"/>
  <c r="K23" i="23"/>
  <c r="M27" i="23"/>
  <c r="L48" i="23"/>
  <c r="M144" i="23"/>
  <c r="M143" i="23" s="1"/>
  <c r="M150" i="23" s="1"/>
  <c r="L136" i="23"/>
  <c r="T150" i="23"/>
  <c r="M25" i="23"/>
  <c r="Q136" i="23"/>
  <c r="R144" i="23"/>
  <c r="R143" i="23" s="1"/>
  <c r="R150" i="23" s="1"/>
  <c r="V138" i="23"/>
  <c r="W138" i="23" s="1"/>
  <c r="L145" i="23"/>
  <c r="K117" i="23"/>
  <c r="K103" i="23"/>
  <c r="U144" i="23"/>
  <c r="U143" i="23" s="1"/>
  <c r="U150" i="23" s="1"/>
  <c r="T136" i="23"/>
  <c r="M5" i="23"/>
  <c r="J50" i="23"/>
  <c r="J58" i="23" s="1"/>
  <c r="J60" i="23" s="1"/>
  <c r="J61" i="23" s="1"/>
  <c r="W152" i="23"/>
  <c r="M136" i="23"/>
  <c r="N144" i="23"/>
  <c r="N143" i="23" s="1"/>
  <c r="N150" i="23" s="1"/>
  <c r="V87" i="23"/>
  <c r="J95" i="23"/>
  <c r="J122" i="23" s="1"/>
  <c r="L120" i="23"/>
  <c r="V120" i="23" s="1"/>
  <c r="W120" i="23" s="1"/>
  <c r="V113" i="23"/>
  <c r="W113" i="23" s="1"/>
  <c r="K105" i="23"/>
  <c r="J112" i="23"/>
  <c r="J108" i="23" s="1"/>
  <c r="V137" i="23"/>
  <c r="K116" i="23"/>
  <c r="K48" i="23"/>
  <c r="V123" i="23"/>
  <c r="E46" i="22"/>
  <c r="I46" i="22" s="1"/>
  <c r="F99" i="22"/>
  <c r="I81" i="22"/>
  <c r="I90" i="22"/>
  <c r="E81" i="22"/>
  <c r="E90" i="22"/>
  <c r="D81" i="22"/>
  <c r="D90" i="22"/>
  <c r="K81" i="22"/>
  <c r="K90" i="22"/>
  <c r="M81" i="22"/>
  <c r="M90" i="22"/>
  <c r="H81" i="22"/>
  <c r="H90" i="22"/>
  <c r="L81" i="22"/>
  <c r="L90" i="22"/>
  <c r="G81" i="22"/>
  <c r="G90" i="22"/>
  <c r="F81" i="22"/>
  <c r="F90" i="22"/>
  <c r="N81" i="22"/>
  <c r="N90" i="22"/>
  <c r="J81" i="22"/>
  <c r="J90" i="22"/>
  <c r="C81" i="22"/>
  <c r="C90" i="22"/>
  <c r="I44" i="22"/>
  <c r="H72" i="22"/>
  <c r="N72" i="22"/>
  <c r="E72" i="22"/>
  <c r="G72" i="22"/>
  <c r="F72" i="22"/>
  <c r="M72" i="22"/>
  <c r="L72" i="22"/>
  <c r="D72" i="22"/>
  <c r="C72" i="22"/>
  <c r="J72" i="22"/>
  <c r="I72" i="22"/>
  <c r="K72" i="22"/>
  <c r="J71" i="22"/>
  <c r="I71" i="22"/>
  <c r="F71" i="22"/>
  <c r="L71" i="22"/>
  <c r="K71" i="22"/>
  <c r="H71" i="22"/>
  <c r="G71" i="22"/>
  <c r="C71" i="22"/>
  <c r="N71" i="22"/>
  <c r="M71" i="22"/>
  <c r="E71" i="22"/>
  <c r="D71" i="22"/>
  <c r="J70" i="22"/>
  <c r="J87" i="22" s="1"/>
  <c r="C70" i="22"/>
  <c r="C87" i="22" s="1"/>
  <c r="I70" i="22"/>
  <c r="I87" i="22" s="1"/>
  <c r="D70" i="22"/>
  <c r="D87" i="22" s="1"/>
  <c r="H70" i="22"/>
  <c r="H87" i="22" s="1"/>
  <c r="E70" i="22"/>
  <c r="E87" i="22" s="1"/>
  <c r="K70" i="22"/>
  <c r="K87" i="22" s="1"/>
  <c r="G70" i="22"/>
  <c r="G87" i="22" s="1"/>
  <c r="N70" i="22"/>
  <c r="N87" i="22" s="1"/>
  <c r="F70" i="22"/>
  <c r="F87" i="22" s="1"/>
  <c r="M70" i="22"/>
  <c r="M87" i="22" s="1"/>
  <c r="L70" i="22"/>
  <c r="L87" i="22" s="1"/>
  <c r="K80" i="1"/>
  <c r="L78" i="1"/>
  <c r="R78" i="1"/>
  <c r="Q80" i="1"/>
  <c r="Q78" i="1"/>
  <c r="J78" i="1"/>
  <c r="I80" i="15"/>
  <c r="S81" i="1" s="1"/>
  <c r="L80" i="1"/>
  <c r="M79" i="1"/>
  <c r="S78" i="1"/>
  <c r="O79" i="1"/>
  <c r="T78" i="1"/>
  <c r="P79" i="1"/>
  <c r="T80" i="1"/>
  <c r="M78" i="1"/>
  <c r="Q79" i="1"/>
  <c r="M80" i="1"/>
  <c r="U80" i="1"/>
  <c r="N78" i="1"/>
  <c r="J79" i="1"/>
  <c r="N80" i="1"/>
  <c r="K79" i="1"/>
  <c r="S79" i="1"/>
  <c r="T79" i="1"/>
  <c r="P80" i="1"/>
  <c r="N49" i="20"/>
  <c r="M49" i="20"/>
  <c r="L49" i="20"/>
  <c r="K49" i="20"/>
  <c r="J49" i="20"/>
  <c r="I49" i="20"/>
  <c r="H49" i="20"/>
  <c r="O47" i="1" s="1"/>
  <c r="G49" i="20"/>
  <c r="N47" i="1" s="1"/>
  <c r="F49" i="20"/>
  <c r="M47" i="1" s="1"/>
  <c r="E49" i="20"/>
  <c r="L47" i="1" s="1"/>
  <c r="D49" i="20"/>
  <c r="K47" i="1" s="1"/>
  <c r="C49" i="20"/>
  <c r="J47" i="1" s="1"/>
  <c r="K20" i="25" l="1"/>
  <c r="L20" i="25" s="1"/>
  <c r="K19" i="25"/>
  <c r="L19" i="25" s="1"/>
  <c r="V145" i="23"/>
  <c r="W145" i="23" s="1"/>
  <c r="M19" i="25"/>
  <c r="R9" i="1"/>
  <c r="R103" i="1" s="1"/>
  <c r="R47" i="1"/>
  <c r="T9" i="1"/>
  <c r="T103" i="1" s="1"/>
  <c r="T47" i="1"/>
  <c r="S9" i="1"/>
  <c r="S47" i="1"/>
  <c r="U9" i="1"/>
  <c r="U103" i="1" s="1"/>
  <c r="U47" i="1"/>
  <c r="P9" i="1"/>
  <c r="P47" i="1"/>
  <c r="Q9" i="1"/>
  <c r="Q103" i="1" s="1"/>
  <c r="Q47" i="1"/>
  <c r="L143" i="23"/>
  <c r="L150" i="23" s="1"/>
  <c r="K50" i="23"/>
  <c r="K58" i="23" s="1"/>
  <c r="L46" i="23"/>
  <c r="G19" i="25" s="1"/>
  <c r="K102" i="23"/>
  <c r="K13" i="23"/>
  <c r="N5" i="23"/>
  <c r="K119" i="23"/>
  <c r="K115" i="23" s="1"/>
  <c r="Y87" i="23"/>
  <c r="W87" i="23"/>
  <c r="N25" i="23"/>
  <c r="M46" i="23"/>
  <c r="K110" i="23"/>
  <c r="W123" i="23"/>
  <c r="L105" i="23"/>
  <c r="L112" i="23" s="1"/>
  <c r="M119" i="23" s="1"/>
  <c r="V144" i="23"/>
  <c r="V136" i="23"/>
  <c r="W136" i="23" s="1"/>
  <c r="W137" i="23"/>
  <c r="K112" i="23"/>
  <c r="L119" i="23" s="1"/>
  <c r="L103" i="23"/>
  <c r="N27" i="23"/>
  <c r="M48" i="23"/>
  <c r="L24" i="23"/>
  <c r="K37" i="23"/>
  <c r="F119" i="22"/>
  <c r="G119" i="22" s="1"/>
  <c r="F102" i="22"/>
  <c r="G102" i="22" s="1"/>
  <c r="F120" i="22"/>
  <c r="G120" i="22" s="1"/>
  <c r="F105" i="22"/>
  <c r="G105" i="22" s="1"/>
  <c r="F104" i="22"/>
  <c r="G104" i="22" s="1"/>
  <c r="F101" i="22"/>
  <c r="G101" i="22" s="1"/>
  <c r="F117" i="22"/>
  <c r="G117" i="22" s="1"/>
  <c r="F100" i="22"/>
  <c r="N79" i="22"/>
  <c r="N88" i="22"/>
  <c r="J79" i="22"/>
  <c r="J88" i="22"/>
  <c r="F80" i="22"/>
  <c r="F89" i="22"/>
  <c r="G80" i="22"/>
  <c r="G89" i="22"/>
  <c r="E80" i="22"/>
  <c r="E89" i="22"/>
  <c r="C79" i="22"/>
  <c r="C88" i="22"/>
  <c r="H79" i="22"/>
  <c r="H88" i="22"/>
  <c r="I80" i="22"/>
  <c r="I89" i="22"/>
  <c r="J80" i="22"/>
  <c r="J89" i="22"/>
  <c r="K79" i="22"/>
  <c r="K88" i="22"/>
  <c r="C80" i="22"/>
  <c r="C89" i="22"/>
  <c r="H80" i="22"/>
  <c r="H89" i="22"/>
  <c r="K80" i="22"/>
  <c r="K89" i="22"/>
  <c r="N80" i="22"/>
  <c r="N89" i="22"/>
  <c r="D79" i="22"/>
  <c r="D88" i="22"/>
  <c r="L79" i="22"/>
  <c r="L88" i="22"/>
  <c r="D80" i="22"/>
  <c r="D89" i="22"/>
  <c r="E79" i="22"/>
  <c r="E88" i="22"/>
  <c r="F79" i="22"/>
  <c r="F88" i="22"/>
  <c r="F91" i="22" s="1"/>
  <c r="L80" i="22"/>
  <c r="L89" i="22"/>
  <c r="G79" i="22"/>
  <c r="G88" i="22"/>
  <c r="M79" i="22"/>
  <c r="M88" i="22"/>
  <c r="I79" i="22"/>
  <c r="I88" i="22"/>
  <c r="M80" i="22"/>
  <c r="M89" i="22"/>
  <c r="C78" i="22"/>
  <c r="C74" i="22"/>
  <c r="D78" i="22"/>
  <c r="D74" i="22"/>
  <c r="F78" i="22"/>
  <c r="F74" i="22"/>
  <c r="N78" i="22"/>
  <c r="N74" i="22"/>
  <c r="J78" i="22"/>
  <c r="J74" i="22"/>
  <c r="M78" i="22"/>
  <c r="M74" i="22"/>
  <c r="G78" i="22"/>
  <c r="G74" i="22"/>
  <c r="K78" i="22"/>
  <c r="K74" i="22"/>
  <c r="I78" i="22"/>
  <c r="I74" i="22"/>
  <c r="E78" i="22"/>
  <c r="E74" i="22"/>
  <c r="L78" i="22"/>
  <c r="L74" i="22"/>
  <c r="H78" i="22"/>
  <c r="H74" i="22"/>
  <c r="U81" i="1"/>
  <c r="O9" i="1"/>
  <c r="O103" i="1" s="1"/>
  <c r="J9" i="1"/>
  <c r="K9" i="1"/>
  <c r="K103" i="1" s="1"/>
  <c r="L9" i="1"/>
  <c r="L103" i="1" s="1"/>
  <c r="M9" i="1"/>
  <c r="N9" i="1"/>
  <c r="N103" i="1" s="1"/>
  <c r="M81" i="1"/>
  <c r="P81" i="1"/>
  <c r="Q81" i="1"/>
  <c r="J81" i="1"/>
  <c r="R81" i="1"/>
  <c r="N81" i="1"/>
  <c r="T81" i="1"/>
  <c r="O81" i="1"/>
  <c r="L81" i="1"/>
  <c r="K81" i="1"/>
  <c r="O68" i="1"/>
  <c r="N68" i="1"/>
  <c r="M68" i="1"/>
  <c r="O72" i="1"/>
  <c r="N72" i="1"/>
  <c r="M72" i="1"/>
  <c r="P64" i="1"/>
  <c r="S12" i="2" s="1"/>
  <c r="Q64" i="1"/>
  <c r="T12" i="2" s="1"/>
  <c r="T14" i="2" s="1"/>
  <c r="R64" i="1"/>
  <c r="U12" i="2" s="1"/>
  <c r="U14" i="2" s="1"/>
  <c r="P70" i="1"/>
  <c r="R70" i="1"/>
  <c r="Q70" i="1"/>
  <c r="P72" i="1"/>
  <c r="R72" i="1"/>
  <c r="Q72" i="1"/>
  <c r="P74" i="1"/>
  <c r="R74" i="1"/>
  <c r="Q74" i="1"/>
  <c r="P76" i="1"/>
  <c r="R76" i="1"/>
  <c r="Q76" i="1"/>
  <c r="U64" i="1"/>
  <c r="X12" i="2" s="1"/>
  <c r="X14" i="2" s="1"/>
  <c r="T64" i="1"/>
  <c r="W12" i="2" s="1"/>
  <c r="W14" i="2" s="1"/>
  <c r="S64" i="1"/>
  <c r="V12" i="2" s="1"/>
  <c r="S66" i="1"/>
  <c r="U66" i="1"/>
  <c r="T66" i="1"/>
  <c r="S68" i="1"/>
  <c r="U68" i="1"/>
  <c r="T68" i="1"/>
  <c r="S70" i="1"/>
  <c r="U70" i="1"/>
  <c r="T70" i="1"/>
  <c r="S72" i="1"/>
  <c r="U72" i="1"/>
  <c r="T72" i="1"/>
  <c r="U74" i="1"/>
  <c r="T74" i="1"/>
  <c r="S74" i="1"/>
  <c r="U76" i="1"/>
  <c r="T76" i="1"/>
  <c r="S76" i="1"/>
  <c r="L65" i="1"/>
  <c r="K65" i="1"/>
  <c r="J65" i="1"/>
  <c r="L67" i="1"/>
  <c r="K67" i="1"/>
  <c r="J67" i="1"/>
  <c r="L69" i="1"/>
  <c r="K69" i="1"/>
  <c r="J69" i="1"/>
  <c r="L71" i="1"/>
  <c r="K71" i="1"/>
  <c r="J71" i="1"/>
  <c r="L73" i="1"/>
  <c r="K73" i="1"/>
  <c r="J73" i="1"/>
  <c r="L75" i="1"/>
  <c r="K75" i="1"/>
  <c r="J75" i="1"/>
  <c r="L77" i="1"/>
  <c r="K77" i="1"/>
  <c r="J77" i="1"/>
  <c r="O70" i="1"/>
  <c r="N70" i="1"/>
  <c r="M70" i="1"/>
  <c r="O74" i="1"/>
  <c r="N74" i="1"/>
  <c r="M74" i="1"/>
  <c r="P66" i="1"/>
  <c r="Q66" i="1"/>
  <c r="R66" i="1"/>
  <c r="O65" i="1"/>
  <c r="N65" i="1"/>
  <c r="M65" i="1"/>
  <c r="N69" i="1"/>
  <c r="M69" i="1"/>
  <c r="O69" i="1"/>
  <c r="O73" i="1"/>
  <c r="N73" i="1"/>
  <c r="M73" i="1"/>
  <c r="N77" i="1"/>
  <c r="O77" i="1"/>
  <c r="M77" i="1"/>
  <c r="R65" i="1"/>
  <c r="Q65" i="1"/>
  <c r="P65" i="1"/>
  <c r="R69" i="1"/>
  <c r="Q69" i="1"/>
  <c r="P69" i="1"/>
  <c r="R73" i="1"/>
  <c r="Q73" i="1"/>
  <c r="P73" i="1"/>
  <c r="R77" i="1"/>
  <c r="Q77" i="1"/>
  <c r="P77" i="1"/>
  <c r="T65" i="1"/>
  <c r="S65" i="1"/>
  <c r="U65" i="1"/>
  <c r="T67" i="1"/>
  <c r="S67" i="1"/>
  <c r="U67" i="1"/>
  <c r="T69" i="1"/>
  <c r="S69" i="1"/>
  <c r="U69" i="1"/>
  <c r="T71" i="1"/>
  <c r="S71" i="1"/>
  <c r="U71" i="1"/>
  <c r="T73" i="1"/>
  <c r="S73" i="1"/>
  <c r="U73" i="1"/>
  <c r="T75" i="1"/>
  <c r="S75" i="1"/>
  <c r="U75" i="1"/>
  <c r="T77" i="1"/>
  <c r="S77" i="1"/>
  <c r="U77" i="1"/>
  <c r="O66" i="1"/>
  <c r="N66" i="1"/>
  <c r="M66" i="1"/>
  <c r="O76" i="1"/>
  <c r="N76" i="1"/>
  <c r="M76" i="1"/>
  <c r="P68" i="1"/>
  <c r="Q68" i="1"/>
  <c r="R68" i="1"/>
  <c r="N67" i="1"/>
  <c r="O67" i="1"/>
  <c r="M67" i="1"/>
  <c r="O71" i="1"/>
  <c r="N71" i="1"/>
  <c r="M71" i="1"/>
  <c r="M75" i="1"/>
  <c r="O75" i="1"/>
  <c r="N75" i="1"/>
  <c r="R67" i="1"/>
  <c r="Q67" i="1"/>
  <c r="P67" i="1"/>
  <c r="R71" i="1"/>
  <c r="Q71" i="1"/>
  <c r="P71" i="1"/>
  <c r="R75" i="1"/>
  <c r="Q75" i="1"/>
  <c r="P75" i="1"/>
  <c r="J64" i="1"/>
  <c r="M12" i="2" s="1"/>
  <c r="K64" i="1"/>
  <c r="N12" i="2" s="1"/>
  <c r="N14" i="2" s="1"/>
  <c r="L64" i="1"/>
  <c r="O12" i="2" s="1"/>
  <c r="O14" i="2" s="1"/>
  <c r="J66" i="1"/>
  <c r="K66" i="1"/>
  <c r="L66" i="1"/>
  <c r="K68" i="1"/>
  <c r="J68" i="1"/>
  <c r="L68" i="1"/>
  <c r="J70" i="1"/>
  <c r="K70" i="1"/>
  <c r="L70" i="1"/>
  <c r="L72" i="1"/>
  <c r="K72" i="1"/>
  <c r="J72" i="1"/>
  <c r="K74" i="1"/>
  <c r="J74" i="1"/>
  <c r="L74" i="1"/>
  <c r="J76" i="1"/>
  <c r="K76" i="1"/>
  <c r="L76" i="1"/>
  <c r="O64" i="1"/>
  <c r="R12" i="2" s="1"/>
  <c r="R14" i="2" s="1"/>
  <c r="N64" i="1"/>
  <c r="Q12" i="2" s="1"/>
  <c r="Q14" i="2" s="1"/>
  <c r="M64" i="1"/>
  <c r="P12" i="2" s="1"/>
  <c r="Q53" i="1"/>
  <c r="R53" i="1"/>
  <c r="P53" i="1"/>
  <c r="K55" i="1"/>
  <c r="J55" i="1"/>
  <c r="L55" i="1"/>
  <c r="O55" i="1"/>
  <c r="M55" i="1"/>
  <c r="N55" i="1"/>
  <c r="R55" i="1"/>
  <c r="Q55" i="1"/>
  <c r="P55" i="1"/>
  <c r="K56" i="1"/>
  <c r="L56" i="1"/>
  <c r="J56" i="1"/>
  <c r="S55" i="1"/>
  <c r="U55" i="1"/>
  <c r="T55" i="1"/>
  <c r="M53" i="1"/>
  <c r="O53" i="1"/>
  <c r="N53" i="1"/>
  <c r="O56" i="1"/>
  <c r="N56" i="1"/>
  <c r="M56" i="1"/>
  <c r="K53" i="1"/>
  <c r="L53" i="1"/>
  <c r="J53" i="1"/>
  <c r="P56" i="1"/>
  <c r="Q56" i="1"/>
  <c r="R56" i="1"/>
  <c r="S53" i="1"/>
  <c r="U53" i="1"/>
  <c r="T53" i="1"/>
  <c r="U56" i="1"/>
  <c r="T56" i="1"/>
  <c r="S56" i="1"/>
  <c r="V78" i="1"/>
  <c r="V79" i="1"/>
  <c r="V80" i="1"/>
  <c r="M103" i="1" l="1"/>
  <c r="K9" i="25"/>
  <c r="L9" i="25" s="1"/>
  <c r="K21" i="25"/>
  <c r="L21" i="25" s="1"/>
  <c r="P103" i="1"/>
  <c r="K10" i="25"/>
  <c r="L10" i="25" s="1"/>
  <c r="J103" i="1"/>
  <c r="K8" i="25"/>
  <c r="L8" i="25" s="1"/>
  <c r="K22" i="25"/>
  <c r="L22" i="25" s="1"/>
  <c r="S103" i="1"/>
  <c r="K11" i="25"/>
  <c r="L11" i="25" s="1"/>
  <c r="N29" i="25"/>
  <c r="O29" i="25" s="1"/>
  <c r="K31" i="25"/>
  <c r="L31" i="25" s="1"/>
  <c r="K29" i="25"/>
  <c r="L29" i="25" s="1"/>
  <c r="N30" i="25"/>
  <c r="O30" i="25" s="1"/>
  <c r="N28" i="25"/>
  <c r="O28" i="25" s="1"/>
  <c r="K28" i="25"/>
  <c r="L28" i="25" s="1"/>
  <c r="N31" i="25"/>
  <c r="O31" i="25" s="1"/>
  <c r="K30" i="25"/>
  <c r="L30" i="25" s="1"/>
  <c r="E28" i="25"/>
  <c r="F28" i="25" s="1"/>
  <c r="E29" i="25"/>
  <c r="F29" i="25" s="1"/>
  <c r="E30" i="25"/>
  <c r="F30" i="25" s="1"/>
  <c r="E31" i="25"/>
  <c r="F31" i="25" s="1"/>
  <c r="K60" i="23"/>
  <c r="K61" i="23" s="1"/>
  <c r="O120" i="22"/>
  <c r="O117" i="22"/>
  <c r="H117" i="22"/>
  <c r="H120" i="22"/>
  <c r="M120" i="22"/>
  <c r="M117" i="22"/>
  <c r="P117" i="22"/>
  <c r="P120" i="22"/>
  <c r="S117" i="22"/>
  <c r="S120" i="22"/>
  <c r="Q117" i="22"/>
  <c r="Q120" i="22"/>
  <c r="L120" i="22"/>
  <c r="L117" i="22"/>
  <c r="K117" i="22"/>
  <c r="K120" i="22"/>
  <c r="N120" i="22"/>
  <c r="N117" i="22"/>
  <c r="J117" i="22"/>
  <c r="J120" i="22"/>
  <c r="R117" i="22"/>
  <c r="R120" i="22"/>
  <c r="I117" i="22"/>
  <c r="I120" i="22"/>
  <c r="L82" i="22"/>
  <c r="Q99" i="22" s="1"/>
  <c r="M82" i="22"/>
  <c r="T34" i="1" s="1"/>
  <c r="T132" i="1" s="1"/>
  <c r="E91" i="22"/>
  <c r="K91" i="22"/>
  <c r="N91" i="22"/>
  <c r="M91" i="22"/>
  <c r="J91" i="22"/>
  <c r="K82" i="22"/>
  <c r="P100" i="22" s="1"/>
  <c r="D91" i="22"/>
  <c r="I91" i="22"/>
  <c r="G91" i="22"/>
  <c r="L23" i="23"/>
  <c r="M105" i="23"/>
  <c r="M103" i="23"/>
  <c r="M110" i="23" s="1"/>
  <c r="O5" i="23"/>
  <c r="O27" i="23"/>
  <c r="N48" i="23"/>
  <c r="O25" i="23"/>
  <c r="K95" i="23"/>
  <c r="K122" i="23" s="1"/>
  <c r="L110" i="23"/>
  <c r="M117" i="23" s="1"/>
  <c r="K109" i="23"/>
  <c r="W144" i="23"/>
  <c r="V143" i="23"/>
  <c r="L117" i="23"/>
  <c r="S105" i="22"/>
  <c r="S101" i="22"/>
  <c r="S104" i="22"/>
  <c r="S102" i="22"/>
  <c r="L102" i="22"/>
  <c r="L105" i="22"/>
  <c r="L101" i="22"/>
  <c r="L104" i="22"/>
  <c r="G82" i="22"/>
  <c r="N34" i="1" s="1"/>
  <c r="N132" i="1" s="1"/>
  <c r="K105" i="22"/>
  <c r="K101" i="22"/>
  <c r="K104" i="22"/>
  <c r="K102" i="22"/>
  <c r="Q104" i="22"/>
  <c r="Q102" i="22"/>
  <c r="Q101" i="22"/>
  <c r="Q105" i="22"/>
  <c r="N82" i="22"/>
  <c r="U34" i="1" s="1"/>
  <c r="U132" i="1" s="1"/>
  <c r="L91" i="22"/>
  <c r="K119" i="22"/>
  <c r="L119" i="22"/>
  <c r="M119" i="22"/>
  <c r="N119" i="22"/>
  <c r="O119" i="22"/>
  <c r="J119" i="22"/>
  <c r="J101" i="22"/>
  <c r="J104" i="22"/>
  <c r="J102" i="22"/>
  <c r="J105" i="22"/>
  <c r="R101" i="22"/>
  <c r="R104" i="22"/>
  <c r="R102" i="22"/>
  <c r="R105" i="22"/>
  <c r="F82" i="22"/>
  <c r="M34" i="1" s="1"/>
  <c r="M132" i="1" s="1"/>
  <c r="C91" i="22"/>
  <c r="H91" i="22"/>
  <c r="O104" i="22"/>
  <c r="O102" i="22"/>
  <c r="O101" i="22"/>
  <c r="O105" i="22"/>
  <c r="H105" i="22"/>
  <c r="H101" i="22"/>
  <c r="H102" i="22"/>
  <c r="H104" i="22"/>
  <c r="E82" i="22"/>
  <c r="L34" i="1" s="1"/>
  <c r="L132" i="1" s="1"/>
  <c r="I104" i="22"/>
  <c r="I105" i="22"/>
  <c r="I102" i="22"/>
  <c r="I101" i="22"/>
  <c r="N102" i="22"/>
  <c r="N105" i="22"/>
  <c r="N104" i="22"/>
  <c r="N101" i="22"/>
  <c r="M102" i="22"/>
  <c r="M105" i="22"/>
  <c r="M101" i="22"/>
  <c r="M104" i="22"/>
  <c r="P101" i="22"/>
  <c r="P105" i="22"/>
  <c r="P102" i="22"/>
  <c r="P104" i="22"/>
  <c r="J82" i="22"/>
  <c r="Q34" i="1" s="1"/>
  <c r="Q132" i="1" s="1"/>
  <c r="I82" i="22"/>
  <c r="P34" i="1" s="1"/>
  <c r="P132" i="1" s="1"/>
  <c r="D82" i="22"/>
  <c r="K34" i="1" s="1"/>
  <c r="K132" i="1" s="1"/>
  <c r="H82" i="22"/>
  <c r="C82" i="22"/>
  <c r="J34" i="1" s="1"/>
  <c r="J132" i="1" s="1"/>
  <c r="M160" i="1"/>
  <c r="R160" i="1"/>
  <c r="N160" i="1"/>
  <c r="L160" i="1"/>
  <c r="O160" i="1"/>
  <c r="P160" i="1"/>
  <c r="S160" i="1"/>
  <c r="K160" i="1"/>
  <c r="Q160" i="1"/>
  <c r="J160" i="1"/>
  <c r="T160" i="1"/>
  <c r="U160" i="1"/>
  <c r="S14" i="2"/>
  <c r="S15" i="2"/>
  <c r="M14" i="2"/>
  <c r="M15" i="2"/>
  <c r="P14" i="2"/>
  <c r="P15" i="2"/>
  <c r="V14" i="2"/>
  <c r="V15" i="2"/>
  <c r="V75" i="1"/>
  <c r="V68" i="1"/>
  <c r="V69" i="1"/>
  <c r="V76" i="1"/>
  <c r="V72" i="1"/>
  <c r="V81" i="1"/>
  <c r="V71" i="1"/>
  <c r="V74" i="1"/>
  <c r="V77" i="1"/>
  <c r="U11" i="1"/>
  <c r="U105" i="1" s="1"/>
  <c r="T11" i="1"/>
  <c r="T105" i="1" s="1"/>
  <c r="S11" i="1"/>
  <c r="S105" i="1" s="1"/>
  <c r="R11" i="1"/>
  <c r="R105" i="1" s="1"/>
  <c r="Q11" i="1"/>
  <c r="Q105" i="1" s="1"/>
  <c r="P11" i="1"/>
  <c r="P105" i="1" s="1"/>
  <c r="O11" i="1"/>
  <c r="O105" i="1" s="1"/>
  <c r="N11" i="1"/>
  <c r="N105" i="1" s="1"/>
  <c r="M11" i="1"/>
  <c r="M105" i="1" s="1"/>
  <c r="L11" i="1"/>
  <c r="L105" i="1" s="1"/>
  <c r="K11" i="1"/>
  <c r="K105" i="1" s="1"/>
  <c r="J11" i="1"/>
  <c r="J105" i="1" s="1"/>
  <c r="F42" i="14"/>
  <c r="J41" i="14"/>
  <c r="F34" i="14"/>
  <c r="J33" i="14"/>
  <c r="F26" i="14"/>
  <c r="L42" i="14"/>
  <c r="K42" i="14"/>
  <c r="H42" i="14"/>
  <c r="D42" i="14"/>
  <c r="N41" i="14"/>
  <c r="K41" i="14"/>
  <c r="H41" i="14"/>
  <c r="E41" i="14"/>
  <c r="L40" i="14"/>
  <c r="K40" i="14"/>
  <c r="H40" i="14"/>
  <c r="D40" i="14"/>
  <c r="N39" i="14"/>
  <c r="K39" i="14"/>
  <c r="H39" i="14"/>
  <c r="E39" i="14"/>
  <c r="L38" i="14"/>
  <c r="K38" i="14"/>
  <c r="H38" i="14"/>
  <c r="D38" i="14"/>
  <c r="N37" i="14"/>
  <c r="K37" i="14"/>
  <c r="H37" i="14"/>
  <c r="E37" i="14"/>
  <c r="L36" i="14"/>
  <c r="K36" i="14"/>
  <c r="H36" i="14"/>
  <c r="D36" i="14"/>
  <c r="N35" i="14"/>
  <c r="K35" i="14"/>
  <c r="H35" i="14"/>
  <c r="E35" i="14"/>
  <c r="L34" i="14"/>
  <c r="K34" i="14"/>
  <c r="H34" i="14"/>
  <c r="D34" i="14"/>
  <c r="N33" i="14"/>
  <c r="K33" i="14"/>
  <c r="H33" i="14"/>
  <c r="E33" i="14"/>
  <c r="L32" i="14"/>
  <c r="K32" i="14"/>
  <c r="H32" i="14"/>
  <c r="D32" i="14"/>
  <c r="N31" i="14"/>
  <c r="K31" i="14"/>
  <c r="H31" i="14"/>
  <c r="E31" i="14"/>
  <c r="L30" i="14"/>
  <c r="K30" i="14"/>
  <c r="H30" i="14"/>
  <c r="D30" i="14"/>
  <c r="N29" i="14"/>
  <c r="K29" i="14"/>
  <c r="H29" i="14"/>
  <c r="E29" i="14"/>
  <c r="L28" i="14"/>
  <c r="K28" i="14"/>
  <c r="H28" i="14"/>
  <c r="D28" i="14"/>
  <c r="N27" i="14"/>
  <c r="K27" i="14"/>
  <c r="H27" i="14"/>
  <c r="E27" i="14"/>
  <c r="L26" i="14"/>
  <c r="K26" i="14"/>
  <c r="H26" i="14"/>
  <c r="D26" i="14"/>
  <c r="R34" i="1" l="1"/>
  <c r="R132" i="1" s="1"/>
  <c r="Q100" i="22"/>
  <c r="Q124" i="22" s="1"/>
  <c r="S57" i="1" s="1"/>
  <c r="S34" i="1"/>
  <c r="S132" i="1" s="1"/>
  <c r="R99" i="22"/>
  <c r="R100" i="22"/>
  <c r="R124" i="22" s="1"/>
  <c r="T57" i="1" s="1"/>
  <c r="T159" i="1" s="1"/>
  <c r="P99" i="22"/>
  <c r="O82" i="22"/>
  <c r="N117" i="23"/>
  <c r="M24" i="23"/>
  <c r="L37" i="23"/>
  <c r="P25" i="23"/>
  <c r="L116" i="23"/>
  <c r="K108" i="23"/>
  <c r="N46" i="23"/>
  <c r="M112" i="23"/>
  <c r="L102" i="23"/>
  <c r="L109" i="23" s="1"/>
  <c r="L13" i="23"/>
  <c r="P27" i="23"/>
  <c r="L45" i="23"/>
  <c r="D19" i="25" s="1"/>
  <c r="N105" i="23"/>
  <c r="N112" i="23" s="1"/>
  <c r="O119" i="23" s="1"/>
  <c r="W143" i="23"/>
  <c r="V150" i="23"/>
  <c r="W150" i="23" s="1"/>
  <c r="N103" i="23"/>
  <c r="N110" i="23" s="1"/>
  <c r="P5" i="23"/>
  <c r="M100" i="22"/>
  <c r="M124" i="22" s="1"/>
  <c r="O57" i="1" s="1"/>
  <c r="O159" i="1" s="1"/>
  <c r="M99" i="22"/>
  <c r="H100" i="22"/>
  <c r="H124" i="22" s="1"/>
  <c r="H99" i="22"/>
  <c r="P124" i="22"/>
  <c r="R57" i="1" s="1"/>
  <c r="R159" i="1" s="1"/>
  <c r="I100" i="22"/>
  <c r="I124" i="22" s="1"/>
  <c r="K57" i="1" s="1"/>
  <c r="K159" i="1" s="1"/>
  <c r="I99" i="22"/>
  <c r="K100" i="22"/>
  <c r="K124" i="22" s="1"/>
  <c r="M57" i="1" s="1"/>
  <c r="K99" i="22"/>
  <c r="S99" i="22"/>
  <c r="S100" i="22"/>
  <c r="S124" i="22" s="1"/>
  <c r="U57" i="1" s="1"/>
  <c r="U159" i="1" s="1"/>
  <c r="N99" i="22"/>
  <c r="N100" i="22"/>
  <c r="N124" i="22" s="1"/>
  <c r="P57" i="1" s="1"/>
  <c r="O99" i="22"/>
  <c r="O100" i="22"/>
  <c r="O124" i="22" s="1"/>
  <c r="Q57" i="1" s="1"/>
  <c r="Q159" i="1" s="1"/>
  <c r="J100" i="22"/>
  <c r="J124" i="22" s="1"/>
  <c r="L57" i="1" s="1"/>
  <c r="L159" i="1" s="1"/>
  <c r="J99" i="22"/>
  <c r="L99" i="22"/>
  <c r="L100" i="22"/>
  <c r="L124" i="22" s="1"/>
  <c r="N57" i="1" s="1"/>
  <c r="N159" i="1" s="1"/>
  <c r="O34" i="1"/>
  <c r="O132" i="1" s="1"/>
  <c r="J41" i="1"/>
  <c r="K27" i="1" s="1"/>
  <c r="K41" i="1" s="1"/>
  <c r="L27" i="1" s="1"/>
  <c r="M16" i="2"/>
  <c r="S16" i="2"/>
  <c r="M17" i="2"/>
  <c r="J27" i="14"/>
  <c r="J35" i="14"/>
  <c r="F28" i="14"/>
  <c r="F36" i="14"/>
  <c r="J29" i="14"/>
  <c r="J37" i="14"/>
  <c r="F30" i="14"/>
  <c r="F38" i="14"/>
  <c r="J31" i="14"/>
  <c r="J39" i="14"/>
  <c r="F32" i="14"/>
  <c r="F40" i="14"/>
  <c r="N34" i="14"/>
  <c r="E26" i="14"/>
  <c r="M26" i="14"/>
  <c r="I27" i="14"/>
  <c r="E28" i="14"/>
  <c r="M28" i="14"/>
  <c r="I29" i="14"/>
  <c r="E30" i="14"/>
  <c r="M30" i="14"/>
  <c r="I31" i="14"/>
  <c r="E32" i="14"/>
  <c r="M32" i="14"/>
  <c r="I33" i="14"/>
  <c r="E34" i="14"/>
  <c r="M34" i="14"/>
  <c r="I35" i="14"/>
  <c r="E36" i="14"/>
  <c r="M36" i="14"/>
  <c r="I37" i="14"/>
  <c r="E38" i="14"/>
  <c r="M38" i="14"/>
  <c r="I39" i="14"/>
  <c r="E40" i="14"/>
  <c r="M40" i="14"/>
  <c r="I41" i="14"/>
  <c r="E42" i="14"/>
  <c r="M42" i="14"/>
  <c r="N28" i="14"/>
  <c r="N32" i="14"/>
  <c r="G26" i="14"/>
  <c r="C27" i="14"/>
  <c r="G28" i="14"/>
  <c r="C29" i="14"/>
  <c r="G30" i="14"/>
  <c r="C31" i="14"/>
  <c r="G32" i="14"/>
  <c r="C33" i="14"/>
  <c r="G34" i="14"/>
  <c r="C35" i="14"/>
  <c r="G36" i="14"/>
  <c r="C37" i="14"/>
  <c r="G38" i="14"/>
  <c r="C39" i="14"/>
  <c r="G40" i="14"/>
  <c r="C41" i="14"/>
  <c r="G42" i="14"/>
  <c r="N36" i="14"/>
  <c r="I26" i="14"/>
  <c r="D27" i="14"/>
  <c r="L27" i="14"/>
  <c r="D29" i="14"/>
  <c r="L29" i="14"/>
  <c r="D31" i="14"/>
  <c r="L31" i="14"/>
  <c r="D33" i="14"/>
  <c r="L33" i="14"/>
  <c r="D35" i="14"/>
  <c r="L35" i="14"/>
  <c r="D37" i="14"/>
  <c r="L37" i="14"/>
  <c r="D39" i="14"/>
  <c r="L39" i="14"/>
  <c r="D41" i="14"/>
  <c r="L41" i="14"/>
  <c r="N42" i="14"/>
  <c r="J26" i="14"/>
  <c r="M27" i="14"/>
  <c r="I28" i="14"/>
  <c r="M29" i="14"/>
  <c r="I30" i="14"/>
  <c r="M31" i="14"/>
  <c r="I32" i="14"/>
  <c r="M33" i="14"/>
  <c r="I34" i="14"/>
  <c r="M35" i="14"/>
  <c r="I36" i="14"/>
  <c r="M37" i="14"/>
  <c r="I38" i="14"/>
  <c r="M39" i="14"/>
  <c r="I40" i="14"/>
  <c r="M41" i="14"/>
  <c r="I42" i="14"/>
  <c r="N40" i="14"/>
  <c r="F27" i="14"/>
  <c r="J28" i="14"/>
  <c r="F29" i="14"/>
  <c r="J30" i="14"/>
  <c r="F31" i="14"/>
  <c r="J32" i="14"/>
  <c r="F33" i="14"/>
  <c r="J34" i="14"/>
  <c r="F35" i="14"/>
  <c r="J36" i="14"/>
  <c r="F37" i="14"/>
  <c r="J38" i="14"/>
  <c r="F39" i="14"/>
  <c r="J40" i="14"/>
  <c r="F41" i="14"/>
  <c r="J42" i="14"/>
  <c r="N26" i="14"/>
  <c r="N30" i="14"/>
  <c r="N38" i="14"/>
  <c r="C26" i="14"/>
  <c r="G27" i="14"/>
  <c r="C28" i="14"/>
  <c r="G29" i="14"/>
  <c r="C30" i="14"/>
  <c r="G31" i="14"/>
  <c r="C32" i="14"/>
  <c r="G33" i="14"/>
  <c r="C34" i="14"/>
  <c r="G35" i="14"/>
  <c r="C36" i="14"/>
  <c r="G37" i="14"/>
  <c r="C38" i="14"/>
  <c r="G39" i="14"/>
  <c r="C40" i="14"/>
  <c r="G41" i="14"/>
  <c r="C42" i="14"/>
  <c r="N49" i="19"/>
  <c r="M49" i="19"/>
  <c r="L49" i="19"/>
  <c r="K49" i="19"/>
  <c r="J49" i="19"/>
  <c r="I49" i="19"/>
  <c r="H49" i="19"/>
  <c r="G49" i="19"/>
  <c r="F49" i="19"/>
  <c r="E49" i="19"/>
  <c r="D49" i="19"/>
  <c r="N48" i="19"/>
  <c r="M48" i="19"/>
  <c r="L48" i="19"/>
  <c r="K48" i="19"/>
  <c r="J48" i="19"/>
  <c r="I48" i="19"/>
  <c r="H48" i="19"/>
  <c r="G48" i="19"/>
  <c r="F48" i="19"/>
  <c r="E48" i="19"/>
  <c r="D48" i="19"/>
  <c r="N47" i="19"/>
  <c r="M47" i="19"/>
  <c r="L47" i="19"/>
  <c r="K47" i="19"/>
  <c r="J47" i="19"/>
  <c r="I47" i="19"/>
  <c r="H47" i="19"/>
  <c r="G47" i="19"/>
  <c r="F47" i="19"/>
  <c r="E47" i="19"/>
  <c r="D47" i="19"/>
  <c r="N46" i="19"/>
  <c r="M46" i="19"/>
  <c r="L46" i="19"/>
  <c r="K46" i="19"/>
  <c r="J46" i="19"/>
  <c r="I46" i="19"/>
  <c r="H46" i="19"/>
  <c r="G46" i="19"/>
  <c r="F46" i="19"/>
  <c r="E46" i="19"/>
  <c r="D46" i="19"/>
  <c r="N45" i="19"/>
  <c r="M45" i="19"/>
  <c r="L45" i="19"/>
  <c r="K45" i="19"/>
  <c r="J45" i="19"/>
  <c r="I45" i="19"/>
  <c r="H45" i="19"/>
  <c r="G45" i="19"/>
  <c r="F45" i="19"/>
  <c r="E45" i="19"/>
  <c r="D45" i="19"/>
  <c r="N44" i="19"/>
  <c r="M44" i="19"/>
  <c r="L44" i="19"/>
  <c r="K44" i="19"/>
  <c r="J44" i="19"/>
  <c r="I44" i="19"/>
  <c r="H44" i="19"/>
  <c r="G44" i="19"/>
  <c r="F44" i="19"/>
  <c r="E44" i="19"/>
  <c r="D44" i="19"/>
  <c r="N43" i="19"/>
  <c r="M43" i="19"/>
  <c r="L43" i="19"/>
  <c r="K43" i="19"/>
  <c r="J43" i="19"/>
  <c r="I43" i="19"/>
  <c r="H43" i="19"/>
  <c r="G43" i="19"/>
  <c r="F43" i="19"/>
  <c r="E43" i="19"/>
  <c r="D43" i="19"/>
  <c r="N42" i="19"/>
  <c r="M42" i="19"/>
  <c r="L42" i="19"/>
  <c r="K42" i="19"/>
  <c r="J42" i="19"/>
  <c r="I42" i="19"/>
  <c r="H42" i="19"/>
  <c r="G42" i="19"/>
  <c r="F42" i="19"/>
  <c r="E42" i="19"/>
  <c r="D42" i="19"/>
  <c r="N41" i="19"/>
  <c r="M41" i="19"/>
  <c r="L41" i="19"/>
  <c r="K41" i="19"/>
  <c r="J41" i="19"/>
  <c r="I41" i="19"/>
  <c r="H41" i="19"/>
  <c r="G41" i="19"/>
  <c r="F41" i="19"/>
  <c r="E41" i="19"/>
  <c r="D41" i="19"/>
  <c r="N40" i="19"/>
  <c r="M40" i="19"/>
  <c r="L40" i="19"/>
  <c r="K40" i="19"/>
  <c r="J40" i="19"/>
  <c r="I40" i="19"/>
  <c r="H40" i="19"/>
  <c r="G40" i="19"/>
  <c r="F40" i="19"/>
  <c r="E40" i="19"/>
  <c r="D40" i="19"/>
  <c r="N39" i="19"/>
  <c r="M39" i="19"/>
  <c r="L39" i="19"/>
  <c r="K39" i="19"/>
  <c r="J39" i="19"/>
  <c r="I39" i="19"/>
  <c r="H39" i="19"/>
  <c r="G39" i="19"/>
  <c r="F39" i="19"/>
  <c r="E39" i="19"/>
  <c r="D39" i="19"/>
  <c r="N38" i="19"/>
  <c r="M38" i="19"/>
  <c r="L38" i="19"/>
  <c r="K38" i="19"/>
  <c r="J38" i="19"/>
  <c r="I38" i="19"/>
  <c r="H38" i="19"/>
  <c r="G38" i="19"/>
  <c r="F38" i="19"/>
  <c r="E38" i="19"/>
  <c r="D38" i="19"/>
  <c r="N37" i="19"/>
  <c r="M37" i="19"/>
  <c r="L37" i="19"/>
  <c r="K37" i="19"/>
  <c r="J37" i="19"/>
  <c r="I37" i="19"/>
  <c r="H37" i="19"/>
  <c r="G37" i="19"/>
  <c r="F37" i="19"/>
  <c r="E37" i="19"/>
  <c r="D37" i="19"/>
  <c r="N36" i="19"/>
  <c r="M36" i="19"/>
  <c r="L36" i="19"/>
  <c r="K36" i="19"/>
  <c r="J36" i="19"/>
  <c r="I36" i="19"/>
  <c r="H36" i="19"/>
  <c r="G36" i="19"/>
  <c r="F36" i="19"/>
  <c r="E36" i="19"/>
  <c r="D36" i="19"/>
  <c r="N35" i="19"/>
  <c r="M35" i="19"/>
  <c r="L35" i="19"/>
  <c r="K35" i="19"/>
  <c r="J35" i="19"/>
  <c r="I35" i="19"/>
  <c r="H35" i="19"/>
  <c r="G35" i="19"/>
  <c r="F35" i="19"/>
  <c r="E35" i="19"/>
  <c r="D35" i="19"/>
  <c r="N34" i="19"/>
  <c r="M34" i="19"/>
  <c r="L34" i="19"/>
  <c r="K34" i="19"/>
  <c r="J34" i="19"/>
  <c r="I34" i="19"/>
  <c r="H34" i="19"/>
  <c r="G34" i="19"/>
  <c r="F34" i="19"/>
  <c r="E34" i="19"/>
  <c r="D34" i="19"/>
  <c r="N33" i="19"/>
  <c r="M33" i="19"/>
  <c r="L33" i="19"/>
  <c r="K33" i="19"/>
  <c r="J33" i="19"/>
  <c r="I33" i="19"/>
  <c r="H33" i="19"/>
  <c r="G33" i="19"/>
  <c r="F33" i="19"/>
  <c r="E33" i="19"/>
  <c r="D33" i="19"/>
  <c r="C49" i="19"/>
  <c r="C48" i="19"/>
  <c r="C47" i="19"/>
  <c r="C46" i="19"/>
  <c r="C45" i="19"/>
  <c r="C44" i="19"/>
  <c r="C43" i="19"/>
  <c r="C42" i="19"/>
  <c r="C41" i="19"/>
  <c r="C40" i="19"/>
  <c r="C39" i="19"/>
  <c r="C38" i="19"/>
  <c r="C37" i="19"/>
  <c r="C36" i="19"/>
  <c r="C35" i="19"/>
  <c r="C34" i="19"/>
  <c r="C33" i="19"/>
  <c r="N32" i="19"/>
  <c r="M32" i="19"/>
  <c r="L32" i="19"/>
  <c r="K32" i="19"/>
  <c r="J32" i="19"/>
  <c r="I32" i="19"/>
  <c r="H32" i="19"/>
  <c r="G32" i="19"/>
  <c r="F32" i="19"/>
  <c r="E32" i="19"/>
  <c r="D32" i="19"/>
  <c r="N31" i="19"/>
  <c r="M31" i="19"/>
  <c r="L31" i="19"/>
  <c r="K31" i="19"/>
  <c r="J31" i="19"/>
  <c r="I31" i="19"/>
  <c r="H31" i="19"/>
  <c r="G31" i="19"/>
  <c r="F31" i="19"/>
  <c r="E31" i="19"/>
  <c r="D31" i="19"/>
  <c r="N30" i="19"/>
  <c r="M30" i="19"/>
  <c r="L30" i="19"/>
  <c r="K30" i="19"/>
  <c r="J30" i="19"/>
  <c r="I30" i="19"/>
  <c r="H30" i="19"/>
  <c r="G30" i="19"/>
  <c r="F30" i="19"/>
  <c r="E30" i="19"/>
  <c r="D30" i="19"/>
  <c r="N29" i="19"/>
  <c r="M29" i="19"/>
  <c r="L29" i="19"/>
  <c r="K29" i="19"/>
  <c r="J29" i="19"/>
  <c r="I29" i="19"/>
  <c r="H29" i="19"/>
  <c r="G29" i="19"/>
  <c r="F29" i="19"/>
  <c r="E29" i="19"/>
  <c r="D29" i="19"/>
  <c r="N28" i="19"/>
  <c r="M28" i="19"/>
  <c r="L28" i="19"/>
  <c r="K28" i="19"/>
  <c r="J28" i="19"/>
  <c r="I28" i="19"/>
  <c r="H28" i="19"/>
  <c r="G28" i="19"/>
  <c r="F28" i="19"/>
  <c r="E28" i="19"/>
  <c r="D28" i="19"/>
  <c r="N27" i="19"/>
  <c r="M27" i="19"/>
  <c r="L27" i="19"/>
  <c r="K27" i="19"/>
  <c r="J27" i="19"/>
  <c r="I27" i="19"/>
  <c r="H27" i="19"/>
  <c r="G27" i="19"/>
  <c r="F27" i="19"/>
  <c r="E27" i="19"/>
  <c r="D27" i="19"/>
  <c r="N26" i="19"/>
  <c r="M26" i="19"/>
  <c r="L26" i="19"/>
  <c r="K26" i="19"/>
  <c r="J26" i="19"/>
  <c r="I26" i="19"/>
  <c r="H26" i="19"/>
  <c r="G26" i="19"/>
  <c r="F26" i="19"/>
  <c r="E26" i="19"/>
  <c r="D26" i="19"/>
  <c r="N25" i="19"/>
  <c r="M25" i="19"/>
  <c r="L25" i="19"/>
  <c r="K25" i="19"/>
  <c r="J25" i="19"/>
  <c r="I25" i="19"/>
  <c r="H25" i="19"/>
  <c r="G25" i="19"/>
  <c r="F25" i="19"/>
  <c r="E25" i="19"/>
  <c r="D25" i="19"/>
  <c r="N24" i="19"/>
  <c r="M24" i="19"/>
  <c r="L24" i="19"/>
  <c r="K24" i="19"/>
  <c r="J24" i="19"/>
  <c r="I24" i="19"/>
  <c r="H24" i="19"/>
  <c r="G24" i="19"/>
  <c r="F24" i="19"/>
  <c r="E24" i="19"/>
  <c r="D24" i="19"/>
  <c r="N23" i="19"/>
  <c r="M23" i="19"/>
  <c r="L23" i="19"/>
  <c r="K23" i="19"/>
  <c r="J23" i="19"/>
  <c r="I23" i="19"/>
  <c r="H23" i="19"/>
  <c r="G23" i="19"/>
  <c r="F23" i="19"/>
  <c r="E23" i="19"/>
  <c r="D23" i="19"/>
  <c r="N22" i="19"/>
  <c r="M22" i="19"/>
  <c r="L22" i="19"/>
  <c r="K22" i="19"/>
  <c r="J22" i="19"/>
  <c r="I22" i="19"/>
  <c r="H22" i="19"/>
  <c r="G22" i="19"/>
  <c r="F22" i="19"/>
  <c r="E22" i="19"/>
  <c r="D22" i="19"/>
  <c r="C32" i="19"/>
  <c r="C31" i="19"/>
  <c r="C30" i="19"/>
  <c r="C29" i="19"/>
  <c r="C28" i="19"/>
  <c r="C27" i="19"/>
  <c r="C26" i="19"/>
  <c r="C25" i="19"/>
  <c r="C24" i="19"/>
  <c r="C23" i="19"/>
  <c r="C22" i="19"/>
  <c r="N21" i="19"/>
  <c r="M21" i="19"/>
  <c r="L21" i="19"/>
  <c r="K21" i="19"/>
  <c r="J21" i="19"/>
  <c r="I21" i="19"/>
  <c r="H21" i="19"/>
  <c r="G21" i="19"/>
  <c r="F21" i="19"/>
  <c r="E21" i="19"/>
  <c r="D21" i="19"/>
  <c r="C21" i="19"/>
  <c r="V64" i="15"/>
  <c r="V68" i="15" s="1"/>
  <c r="V70" i="15" s="1"/>
  <c r="U64" i="15"/>
  <c r="U68" i="15" s="1"/>
  <c r="U70" i="15" s="1"/>
  <c r="T64" i="15"/>
  <c r="T66" i="15" s="1"/>
  <c r="S64" i="15"/>
  <c r="S68" i="15" s="1"/>
  <c r="S70" i="15" s="1"/>
  <c r="R64" i="15"/>
  <c r="R68" i="15" s="1"/>
  <c r="R70" i="15" s="1"/>
  <c r="Q64" i="15"/>
  <c r="Q68" i="15" s="1"/>
  <c r="Q70" i="15" s="1"/>
  <c r="P64" i="15"/>
  <c r="P68" i="15" s="1"/>
  <c r="P70" i="15" s="1"/>
  <c r="O64" i="15"/>
  <c r="O68" i="15" s="1"/>
  <c r="O70" i="15" s="1"/>
  <c r="I99" i="19"/>
  <c r="I97" i="19"/>
  <c r="M96" i="19"/>
  <c r="M94" i="19"/>
  <c r="I93" i="19"/>
  <c r="I91" i="19"/>
  <c r="M90" i="19"/>
  <c r="E90" i="19"/>
  <c r="I87" i="19"/>
  <c r="M86" i="19"/>
  <c r="E86" i="19"/>
  <c r="I85" i="19"/>
  <c r="M84" i="19"/>
  <c r="E84" i="19"/>
  <c r="I83" i="19"/>
  <c r="I81" i="19"/>
  <c r="M80" i="19"/>
  <c r="M78" i="19"/>
  <c r="I75" i="19"/>
  <c r="M74" i="19"/>
  <c r="E74" i="19"/>
  <c r="I71" i="19"/>
  <c r="J70" i="19"/>
  <c r="G70" i="19"/>
  <c r="D70" i="19"/>
  <c r="N69" i="19"/>
  <c r="E69" i="19"/>
  <c r="N68" i="19"/>
  <c r="J68" i="19"/>
  <c r="H68" i="19"/>
  <c r="L66" i="19"/>
  <c r="I66" i="19"/>
  <c r="H66" i="19"/>
  <c r="H65" i="19"/>
  <c r="L64" i="19"/>
  <c r="H63" i="19"/>
  <c r="M62" i="19"/>
  <c r="E62" i="19"/>
  <c r="K61" i="19"/>
  <c r="E61" i="19"/>
  <c r="I60" i="19"/>
  <c r="E60" i="19"/>
  <c r="N59" i="19"/>
  <c r="J59" i="19"/>
  <c r="H59" i="19"/>
  <c r="C59" i="19"/>
  <c r="K58" i="19"/>
  <c r="E58" i="19"/>
  <c r="K57" i="19"/>
  <c r="C57" i="19"/>
  <c r="P159" i="1" l="1"/>
  <c r="Q30" i="25"/>
  <c r="R30" i="25" s="1"/>
  <c r="M159" i="1"/>
  <c r="Q29" i="25"/>
  <c r="R29" i="25" s="1"/>
  <c r="S159" i="1"/>
  <c r="Q31" i="25"/>
  <c r="R31" i="25" s="1"/>
  <c r="J48" i="1"/>
  <c r="O46" i="23"/>
  <c r="G20" i="25" s="1"/>
  <c r="O117" i="23"/>
  <c r="M116" i="23"/>
  <c r="M115" i="23" s="1"/>
  <c r="L108" i="23"/>
  <c r="Q27" i="23"/>
  <c r="L50" i="23"/>
  <c r="L58" i="23" s="1"/>
  <c r="L60" i="23" s="1"/>
  <c r="L61" i="23" s="1"/>
  <c r="O48" i="23"/>
  <c r="M20" i="25" s="1"/>
  <c r="N119" i="23"/>
  <c r="M23" i="23"/>
  <c r="Q5" i="23"/>
  <c r="O103" i="23"/>
  <c r="O110" i="23" s="1"/>
  <c r="P117" i="23" s="1"/>
  <c r="L95" i="23"/>
  <c r="Q25" i="23"/>
  <c r="O105" i="23"/>
  <c r="O112" i="23" s="1"/>
  <c r="P119" i="23" s="1"/>
  <c r="L115" i="23"/>
  <c r="G99" i="22"/>
  <c r="J57" i="1"/>
  <c r="G100" i="22"/>
  <c r="K48" i="1"/>
  <c r="L41" i="1"/>
  <c r="M27" i="1" s="1"/>
  <c r="E124" i="19"/>
  <c r="I55" i="19"/>
  <c r="J55" i="19"/>
  <c r="K69" i="19"/>
  <c r="J69" i="19"/>
  <c r="K77" i="19"/>
  <c r="K127" i="19" s="1"/>
  <c r="J77" i="19"/>
  <c r="J127" i="19" s="1"/>
  <c r="N57" i="19"/>
  <c r="M57" i="19"/>
  <c r="L57" i="19"/>
  <c r="N73" i="19"/>
  <c r="N123" i="19" s="1"/>
  <c r="M73" i="19"/>
  <c r="M123" i="19" s="1"/>
  <c r="L73" i="19"/>
  <c r="L123" i="19" s="1"/>
  <c r="N75" i="19"/>
  <c r="N125" i="19" s="1"/>
  <c r="M75" i="19"/>
  <c r="M125" i="19" s="1"/>
  <c r="L75" i="19"/>
  <c r="L125" i="19" s="1"/>
  <c r="N79" i="19"/>
  <c r="N129" i="19" s="1"/>
  <c r="M79" i="19"/>
  <c r="M129" i="19" s="1"/>
  <c r="L79" i="19"/>
  <c r="L129" i="19" s="1"/>
  <c r="N81" i="19"/>
  <c r="N131" i="19" s="1"/>
  <c r="M81" i="19"/>
  <c r="M131" i="19" s="1"/>
  <c r="L81" i="19"/>
  <c r="L131" i="19" s="1"/>
  <c r="N83" i="19"/>
  <c r="N133" i="19" s="1"/>
  <c r="M83" i="19"/>
  <c r="M133" i="19" s="1"/>
  <c r="L83" i="19"/>
  <c r="L133" i="19" s="1"/>
  <c r="N85" i="19"/>
  <c r="N135" i="19" s="1"/>
  <c r="M85" i="19"/>
  <c r="M135" i="19" s="1"/>
  <c r="L85" i="19"/>
  <c r="L135" i="19" s="1"/>
  <c r="N87" i="19"/>
  <c r="N137" i="19" s="1"/>
  <c r="M87" i="19"/>
  <c r="M137" i="19" s="1"/>
  <c r="L87" i="19"/>
  <c r="L137" i="19" s="1"/>
  <c r="N91" i="19"/>
  <c r="N141" i="19" s="1"/>
  <c r="M91" i="19"/>
  <c r="M141" i="19" s="1"/>
  <c r="L91" i="19"/>
  <c r="L141" i="19" s="1"/>
  <c r="N93" i="19"/>
  <c r="N143" i="19" s="1"/>
  <c r="M93" i="19"/>
  <c r="M143" i="19" s="1"/>
  <c r="L93" i="19"/>
  <c r="L143" i="19" s="1"/>
  <c r="N95" i="19"/>
  <c r="N145" i="19" s="1"/>
  <c r="M95" i="19"/>
  <c r="M145" i="19" s="1"/>
  <c r="L95" i="19"/>
  <c r="L145" i="19" s="1"/>
  <c r="N97" i="19"/>
  <c r="N147" i="19" s="1"/>
  <c r="M97" i="19"/>
  <c r="M147" i="19" s="1"/>
  <c r="L97" i="19"/>
  <c r="L147" i="19" s="1"/>
  <c r="N99" i="19"/>
  <c r="N149" i="19" s="1"/>
  <c r="M99" i="19"/>
  <c r="M149" i="19" s="1"/>
  <c r="L99" i="19"/>
  <c r="L149" i="19" s="1"/>
  <c r="E54" i="19"/>
  <c r="D54" i="19"/>
  <c r="C54" i="19"/>
  <c r="E56" i="19"/>
  <c r="D56" i="19"/>
  <c r="C56" i="19"/>
  <c r="E64" i="19"/>
  <c r="C64" i="19"/>
  <c r="D66" i="19"/>
  <c r="C66" i="19"/>
  <c r="D68" i="19"/>
  <c r="E68" i="19"/>
  <c r="C72" i="19"/>
  <c r="C122" i="19" s="1"/>
  <c r="D72" i="19"/>
  <c r="D122" i="19" s="1"/>
  <c r="C74" i="19"/>
  <c r="C124" i="19" s="1"/>
  <c r="D74" i="19"/>
  <c r="D124" i="19" s="1"/>
  <c r="C76" i="19"/>
  <c r="C126" i="19" s="1"/>
  <c r="D76" i="19"/>
  <c r="D126" i="19" s="1"/>
  <c r="C78" i="19"/>
  <c r="C128" i="19" s="1"/>
  <c r="D78" i="19"/>
  <c r="D128" i="19" s="1"/>
  <c r="C80" i="19"/>
  <c r="C130" i="19" s="1"/>
  <c r="D80" i="19"/>
  <c r="D130" i="19" s="1"/>
  <c r="C82" i="19"/>
  <c r="C132" i="19" s="1"/>
  <c r="D82" i="19"/>
  <c r="D132" i="19" s="1"/>
  <c r="C84" i="19"/>
  <c r="C134" i="19" s="1"/>
  <c r="D84" i="19"/>
  <c r="D134" i="19" s="1"/>
  <c r="C86" i="19"/>
  <c r="C136" i="19" s="1"/>
  <c r="D86" i="19"/>
  <c r="D136" i="19" s="1"/>
  <c r="C88" i="19"/>
  <c r="C138" i="19" s="1"/>
  <c r="D88" i="19"/>
  <c r="D138" i="19" s="1"/>
  <c r="C90" i="19"/>
  <c r="C140" i="19" s="1"/>
  <c r="D90" i="19"/>
  <c r="D140" i="19" s="1"/>
  <c r="C92" i="19"/>
  <c r="C142" i="19" s="1"/>
  <c r="D92" i="19"/>
  <c r="D142" i="19" s="1"/>
  <c r="C94" i="19"/>
  <c r="C144" i="19" s="1"/>
  <c r="D94" i="19"/>
  <c r="D144" i="19" s="1"/>
  <c r="C96" i="19"/>
  <c r="C146" i="19" s="1"/>
  <c r="D96" i="19"/>
  <c r="D146" i="19" s="1"/>
  <c r="C98" i="19"/>
  <c r="C148" i="19" s="1"/>
  <c r="D98" i="19"/>
  <c r="D148" i="19" s="1"/>
  <c r="M14" i="14"/>
  <c r="E14" i="14"/>
  <c r="L14" i="14"/>
  <c r="D14" i="14"/>
  <c r="K14" i="14"/>
  <c r="G14" i="14"/>
  <c r="J14" i="14"/>
  <c r="I14" i="14"/>
  <c r="C14" i="14"/>
  <c r="H14" i="14"/>
  <c r="N14" i="14"/>
  <c r="F14" i="14"/>
  <c r="M130" i="19"/>
  <c r="I147" i="19"/>
  <c r="J66" i="19"/>
  <c r="E80" i="19"/>
  <c r="E130" i="19" s="1"/>
  <c r="E96" i="19"/>
  <c r="E146" i="19" s="1"/>
  <c r="K65" i="19"/>
  <c r="J65" i="19"/>
  <c r="I65" i="19"/>
  <c r="K89" i="19"/>
  <c r="K139" i="19" s="1"/>
  <c r="J89" i="19"/>
  <c r="J139" i="19" s="1"/>
  <c r="N67" i="19"/>
  <c r="M67" i="19"/>
  <c r="L67" i="19"/>
  <c r="G58" i="19"/>
  <c r="H58" i="19"/>
  <c r="F58" i="19"/>
  <c r="H64" i="19"/>
  <c r="G64" i="19"/>
  <c r="F64" i="19"/>
  <c r="H80" i="19"/>
  <c r="H130" i="19" s="1"/>
  <c r="G80" i="19"/>
  <c r="G130" i="19" s="1"/>
  <c r="F80" i="19"/>
  <c r="F130" i="19" s="1"/>
  <c r="H88" i="19"/>
  <c r="H138" i="19" s="1"/>
  <c r="G88" i="19"/>
  <c r="G138" i="19" s="1"/>
  <c r="F88" i="19"/>
  <c r="F138" i="19" s="1"/>
  <c r="H94" i="19"/>
  <c r="H144" i="19" s="1"/>
  <c r="G94" i="19"/>
  <c r="G144" i="19" s="1"/>
  <c r="F94" i="19"/>
  <c r="F144" i="19" s="1"/>
  <c r="K54" i="19"/>
  <c r="J54" i="19"/>
  <c r="I54" i="19"/>
  <c r="K56" i="19"/>
  <c r="J56" i="19"/>
  <c r="I56" i="19"/>
  <c r="K62" i="19"/>
  <c r="J62" i="19"/>
  <c r="J64" i="19"/>
  <c r="I64" i="19"/>
  <c r="K64" i="19"/>
  <c r="K72" i="19"/>
  <c r="K122" i="19" s="1"/>
  <c r="J72" i="19"/>
  <c r="J122" i="19" s="1"/>
  <c r="I72" i="19"/>
  <c r="I122" i="19" s="1"/>
  <c r="K74" i="19"/>
  <c r="K124" i="19" s="1"/>
  <c r="J74" i="19"/>
  <c r="J124" i="19" s="1"/>
  <c r="I74" i="19"/>
  <c r="I124" i="19" s="1"/>
  <c r="K76" i="19"/>
  <c r="K126" i="19" s="1"/>
  <c r="J76" i="19"/>
  <c r="J126" i="19" s="1"/>
  <c r="I76" i="19"/>
  <c r="I126" i="19" s="1"/>
  <c r="K78" i="19"/>
  <c r="K128" i="19" s="1"/>
  <c r="J78" i="19"/>
  <c r="J128" i="19" s="1"/>
  <c r="I78" i="19"/>
  <c r="I128" i="19" s="1"/>
  <c r="K80" i="19"/>
  <c r="K130" i="19" s="1"/>
  <c r="J80" i="19"/>
  <c r="J130" i="19" s="1"/>
  <c r="I80" i="19"/>
  <c r="I130" i="19" s="1"/>
  <c r="K82" i="19"/>
  <c r="K132" i="19" s="1"/>
  <c r="J82" i="19"/>
  <c r="J132" i="19" s="1"/>
  <c r="I82" i="19"/>
  <c r="I132" i="19" s="1"/>
  <c r="K84" i="19"/>
  <c r="K134" i="19" s="1"/>
  <c r="J84" i="19"/>
  <c r="J134" i="19" s="1"/>
  <c r="I84" i="19"/>
  <c r="I134" i="19" s="1"/>
  <c r="K86" i="19"/>
  <c r="K136" i="19" s="1"/>
  <c r="J86" i="19"/>
  <c r="J136" i="19" s="1"/>
  <c r="I86" i="19"/>
  <c r="I136" i="19" s="1"/>
  <c r="K88" i="19"/>
  <c r="K138" i="19" s="1"/>
  <c r="J88" i="19"/>
  <c r="J138" i="19" s="1"/>
  <c r="I88" i="19"/>
  <c r="I138" i="19" s="1"/>
  <c r="K90" i="19"/>
  <c r="K140" i="19" s="1"/>
  <c r="J90" i="19"/>
  <c r="J140" i="19" s="1"/>
  <c r="I90" i="19"/>
  <c r="I140" i="19" s="1"/>
  <c r="K92" i="19"/>
  <c r="K142" i="19" s="1"/>
  <c r="J92" i="19"/>
  <c r="J142" i="19" s="1"/>
  <c r="I92" i="19"/>
  <c r="I142" i="19" s="1"/>
  <c r="K94" i="19"/>
  <c r="K144" i="19" s="1"/>
  <c r="J94" i="19"/>
  <c r="J144" i="19" s="1"/>
  <c r="I94" i="19"/>
  <c r="I144" i="19" s="1"/>
  <c r="K96" i="19"/>
  <c r="K146" i="19" s="1"/>
  <c r="J96" i="19"/>
  <c r="J146" i="19" s="1"/>
  <c r="I96" i="19"/>
  <c r="I146" i="19" s="1"/>
  <c r="K98" i="19"/>
  <c r="K148" i="19" s="1"/>
  <c r="J98" i="19"/>
  <c r="J148" i="19" s="1"/>
  <c r="I98" i="19"/>
  <c r="I148" i="19" s="1"/>
  <c r="N19" i="14"/>
  <c r="F19" i="14"/>
  <c r="M19" i="14"/>
  <c r="E19" i="14"/>
  <c r="L19" i="14"/>
  <c r="D19" i="14"/>
  <c r="H19" i="14"/>
  <c r="K19" i="14"/>
  <c r="J19" i="14"/>
  <c r="I19" i="14"/>
  <c r="G19" i="14"/>
  <c r="C19" i="14"/>
  <c r="M59" i="19"/>
  <c r="H70" i="19"/>
  <c r="E76" i="19"/>
  <c r="E126" i="19" s="1"/>
  <c r="E92" i="19"/>
  <c r="E142" i="19" s="1"/>
  <c r="K67" i="19"/>
  <c r="I67" i="19"/>
  <c r="K75" i="19"/>
  <c r="K125" i="19" s="1"/>
  <c r="J75" i="19"/>
  <c r="J125" i="19" s="1"/>
  <c r="H54" i="19"/>
  <c r="F54" i="19"/>
  <c r="H62" i="19"/>
  <c r="F62" i="19"/>
  <c r="H76" i="19"/>
  <c r="H126" i="19" s="1"/>
  <c r="G76" i="19"/>
  <c r="G126" i="19" s="1"/>
  <c r="F76" i="19"/>
  <c r="F126" i="19" s="1"/>
  <c r="J15" i="14"/>
  <c r="D15" i="14"/>
  <c r="I15" i="14"/>
  <c r="L15" i="14"/>
  <c r="H15" i="14"/>
  <c r="G15" i="14"/>
  <c r="C15" i="14"/>
  <c r="N15" i="14"/>
  <c r="F15" i="14"/>
  <c r="M15" i="14"/>
  <c r="E15" i="14"/>
  <c r="K15" i="14"/>
  <c r="M56" i="19"/>
  <c r="L56" i="19"/>
  <c r="N56" i="19"/>
  <c r="M58" i="19"/>
  <c r="L58" i="19"/>
  <c r="N58" i="19"/>
  <c r="N60" i="19"/>
  <c r="L60" i="19"/>
  <c r="N64" i="19"/>
  <c r="M64" i="19"/>
  <c r="N70" i="19"/>
  <c r="L70" i="19"/>
  <c r="N72" i="19"/>
  <c r="N122" i="19" s="1"/>
  <c r="L72" i="19"/>
  <c r="L122" i="19" s="1"/>
  <c r="N74" i="19"/>
  <c r="N124" i="19" s="1"/>
  <c r="L74" i="19"/>
  <c r="L124" i="19" s="1"/>
  <c r="N76" i="19"/>
  <c r="N126" i="19" s="1"/>
  <c r="L76" i="19"/>
  <c r="L126" i="19" s="1"/>
  <c r="N78" i="19"/>
  <c r="N128" i="19" s="1"/>
  <c r="L78" i="19"/>
  <c r="L128" i="19" s="1"/>
  <c r="N80" i="19"/>
  <c r="N130" i="19" s="1"/>
  <c r="L80" i="19"/>
  <c r="L130" i="19" s="1"/>
  <c r="N82" i="19"/>
  <c r="N132" i="19" s="1"/>
  <c r="L82" i="19"/>
  <c r="L132" i="19" s="1"/>
  <c r="N84" i="19"/>
  <c r="N134" i="19" s="1"/>
  <c r="L84" i="19"/>
  <c r="L134" i="19" s="1"/>
  <c r="N86" i="19"/>
  <c r="N136" i="19" s="1"/>
  <c r="L86" i="19"/>
  <c r="L136" i="19" s="1"/>
  <c r="N88" i="19"/>
  <c r="N138" i="19" s="1"/>
  <c r="L88" i="19"/>
  <c r="L138" i="19" s="1"/>
  <c r="N90" i="19"/>
  <c r="N140" i="19" s="1"/>
  <c r="L90" i="19"/>
  <c r="L140" i="19" s="1"/>
  <c r="N92" i="19"/>
  <c r="N142" i="19" s="1"/>
  <c r="L92" i="19"/>
  <c r="L142" i="19" s="1"/>
  <c r="N94" i="19"/>
  <c r="N144" i="19" s="1"/>
  <c r="L94" i="19"/>
  <c r="L144" i="19" s="1"/>
  <c r="N96" i="19"/>
  <c r="N146" i="19" s="1"/>
  <c r="L96" i="19"/>
  <c r="L146" i="19" s="1"/>
  <c r="N98" i="19"/>
  <c r="N148" i="19" s="1"/>
  <c r="L98" i="19"/>
  <c r="L148" i="19" s="1"/>
  <c r="K20" i="14"/>
  <c r="M20" i="14"/>
  <c r="J20" i="14"/>
  <c r="E20" i="14"/>
  <c r="I20" i="14"/>
  <c r="H20" i="14"/>
  <c r="G20" i="14"/>
  <c r="N20" i="14"/>
  <c r="F20" i="14"/>
  <c r="C20" i="14"/>
  <c r="L20" i="14"/>
  <c r="D20" i="14"/>
  <c r="E136" i="19"/>
  <c r="M136" i="19"/>
  <c r="I62" i="19"/>
  <c r="M76" i="19"/>
  <c r="M126" i="19" s="1"/>
  <c r="E82" i="19"/>
  <c r="E132" i="19" s="1"/>
  <c r="M92" i="19"/>
  <c r="M142" i="19" s="1"/>
  <c r="E98" i="19"/>
  <c r="E148" i="19" s="1"/>
  <c r="K85" i="19"/>
  <c r="K135" i="19" s="1"/>
  <c r="J85" i="19"/>
  <c r="J135" i="19" s="1"/>
  <c r="N65" i="19"/>
  <c r="M65" i="19"/>
  <c r="L65" i="19"/>
  <c r="G60" i="19"/>
  <c r="H60" i="19"/>
  <c r="H74" i="19"/>
  <c r="H124" i="19" s="1"/>
  <c r="G74" i="19"/>
  <c r="G124" i="19" s="1"/>
  <c r="F74" i="19"/>
  <c r="F124" i="19" s="1"/>
  <c r="H78" i="19"/>
  <c r="H128" i="19" s="1"/>
  <c r="G78" i="19"/>
  <c r="G128" i="19" s="1"/>
  <c r="F78" i="19"/>
  <c r="F128" i="19" s="1"/>
  <c r="H84" i="19"/>
  <c r="H134" i="19" s="1"/>
  <c r="G84" i="19"/>
  <c r="G134" i="19" s="1"/>
  <c r="F84" i="19"/>
  <c r="F134" i="19" s="1"/>
  <c r="H86" i="19"/>
  <c r="H136" i="19" s="1"/>
  <c r="G86" i="19"/>
  <c r="G136" i="19" s="1"/>
  <c r="F86" i="19"/>
  <c r="F136" i="19" s="1"/>
  <c r="H92" i="19"/>
  <c r="H142" i="19" s="1"/>
  <c r="G92" i="19"/>
  <c r="G142" i="19" s="1"/>
  <c r="F92" i="19"/>
  <c r="F142" i="19" s="1"/>
  <c r="H98" i="19"/>
  <c r="H148" i="19" s="1"/>
  <c r="G98" i="19"/>
  <c r="G148" i="19" s="1"/>
  <c r="F98" i="19"/>
  <c r="F148" i="19" s="1"/>
  <c r="E55" i="19"/>
  <c r="D55" i="19"/>
  <c r="E63" i="19"/>
  <c r="D63" i="19"/>
  <c r="C63" i="19"/>
  <c r="E65" i="19"/>
  <c r="D65" i="19"/>
  <c r="C65" i="19"/>
  <c r="E67" i="19"/>
  <c r="D67" i="19"/>
  <c r="C67" i="19"/>
  <c r="E71" i="19"/>
  <c r="E121" i="19" s="1"/>
  <c r="D71" i="19"/>
  <c r="D121" i="19" s="1"/>
  <c r="C71" i="19"/>
  <c r="C121" i="19" s="1"/>
  <c r="E73" i="19"/>
  <c r="E123" i="19" s="1"/>
  <c r="D73" i="19"/>
  <c r="D123" i="19" s="1"/>
  <c r="C73" i="19"/>
  <c r="C123" i="19" s="1"/>
  <c r="E75" i="19"/>
  <c r="E125" i="19" s="1"/>
  <c r="D75" i="19"/>
  <c r="D125" i="19" s="1"/>
  <c r="C75" i="19"/>
  <c r="C125" i="19" s="1"/>
  <c r="E77" i="19"/>
  <c r="E127" i="19" s="1"/>
  <c r="D77" i="19"/>
  <c r="D127" i="19" s="1"/>
  <c r="C77" i="19"/>
  <c r="C127" i="19" s="1"/>
  <c r="E79" i="19"/>
  <c r="E129" i="19" s="1"/>
  <c r="D79" i="19"/>
  <c r="D129" i="19" s="1"/>
  <c r="C79" i="19"/>
  <c r="C129" i="19" s="1"/>
  <c r="E81" i="19"/>
  <c r="E131" i="19" s="1"/>
  <c r="D81" i="19"/>
  <c r="D131" i="19" s="1"/>
  <c r="C81" i="19"/>
  <c r="C131" i="19" s="1"/>
  <c r="E83" i="19"/>
  <c r="E133" i="19" s="1"/>
  <c r="D83" i="19"/>
  <c r="D133" i="19" s="1"/>
  <c r="C83" i="19"/>
  <c r="C133" i="19" s="1"/>
  <c r="E85" i="19"/>
  <c r="E135" i="19" s="1"/>
  <c r="D85" i="19"/>
  <c r="D135" i="19" s="1"/>
  <c r="C85" i="19"/>
  <c r="C135" i="19" s="1"/>
  <c r="E87" i="19"/>
  <c r="E137" i="19" s="1"/>
  <c r="D87" i="19"/>
  <c r="D137" i="19" s="1"/>
  <c r="C87" i="19"/>
  <c r="C137" i="19" s="1"/>
  <c r="E89" i="19"/>
  <c r="E139" i="19" s="1"/>
  <c r="D89" i="19"/>
  <c r="D139" i="19" s="1"/>
  <c r="C89" i="19"/>
  <c r="C139" i="19" s="1"/>
  <c r="E91" i="19"/>
  <c r="E141" i="19" s="1"/>
  <c r="D91" i="19"/>
  <c r="D141" i="19" s="1"/>
  <c r="C91" i="19"/>
  <c r="C141" i="19" s="1"/>
  <c r="E93" i="19"/>
  <c r="E143" i="19" s="1"/>
  <c r="D93" i="19"/>
  <c r="D143" i="19" s="1"/>
  <c r="C93" i="19"/>
  <c r="C143" i="19" s="1"/>
  <c r="E95" i="19"/>
  <c r="E145" i="19" s="1"/>
  <c r="D95" i="19"/>
  <c r="D145" i="19" s="1"/>
  <c r="C95" i="19"/>
  <c r="C145" i="19" s="1"/>
  <c r="E97" i="19"/>
  <c r="E147" i="19" s="1"/>
  <c r="D97" i="19"/>
  <c r="D147" i="19" s="1"/>
  <c r="C97" i="19"/>
  <c r="C147" i="19" s="1"/>
  <c r="E99" i="19"/>
  <c r="E149" i="19" s="1"/>
  <c r="D99" i="19"/>
  <c r="D149" i="19" s="1"/>
  <c r="C99" i="19"/>
  <c r="C149" i="19" s="1"/>
  <c r="H21" i="14"/>
  <c r="G21" i="14"/>
  <c r="N21" i="14"/>
  <c r="F21" i="14"/>
  <c r="M21" i="14"/>
  <c r="E21" i="14"/>
  <c r="L21" i="14"/>
  <c r="D21" i="14"/>
  <c r="K21" i="14"/>
  <c r="C21" i="14"/>
  <c r="J21" i="14"/>
  <c r="I21" i="14"/>
  <c r="G54" i="19"/>
  <c r="E72" i="19"/>
  <c r="E122" i="19" s="1"/>
  <c r="I77" i="19"/>
  <c r="I127" i="19" s="1"/>
  <c r="M82" i="19"/>
  <c r="M132" i="19" s="1"/>
  <c r="E88" i="19"/>
  <c r="E138" i="19" s="1"/>
  <c r="M98" i="19"/>
  <c r="M148" i="19" s="1"/>
  <c r="K63" i="19"/>
  <c r="J63" i="19"/>
  <c r="I63" i="19"/>
  <c r="K81" i="19"/>
  <c r="K131" i="19" s="1"/>
  <c r="J81" i="19"/>
  <c r="J131" i="19" s="1"/>
  <c r="N55" i="19"/>
  <c r="M55" i="19"/>
  <c r="L55" i="19"/>
  <c r="N63" i="19"/>
  <c r="M63" i="19"/>
  <c r="L63" i="19"/>
  <c r="H56" i="19"/>
  <c r="F56" i="19"/>
  <c r="H72" i="19"/>
  <c r="H122" i="19" s="1"/>
  <c r="G72" i="19"/>
  <c r="G122" i="19" s="1"/>
  <c r="F72" i="19"/>
  <c r="F122" i="19" s="1"/>
  <c r="H82" i="19"/>
  <c r="H132" i="19" s="1"/>
  <c r="G82" i="19"/>
  <c r="G132" i="19" s="1"/>
  <c r="F82" i="19"/>
  <c r="F132" i="19" s="1"/>
  <c r="H90" i="19"/>
  <c r="H140" i="19" s="1"/>
  <c r="G90" i="19"/>
  <c r="G140" i="19" s="1"/>
  <c r="F90" i="19"/>
  <c r="F140" i="19" s="1"/>
  <c r="H96" i="19"/>
  <c r="H146" i="19" s="1"/>
  <c r="G96" i="19"/>
  <c r="G146" i="19" s="1"/>
  <c r="F96" i="19"/>
  <c r="F146" i="19" s="1"/>
  <c r="J67" i="19"/>
  <c r="M54" i="19"/>
  <c r="L54" i="19"/>
  <c r="N54" i="19"/>
  <c r="E57" i="19"/>
  <c r="D57" i="19"/>
  <c r="H55" i="19"/>
  <c r="G55" i="19"/>
  <c r="F55" i="19"/>
  <c r="H57" i="19"/>
  <c r="G57" i="19"/>
  <c r="F57" i="19"/>
  <c r="G61" i="19"/>
  <c r="H61" i="19"/>
  <c r="F61" i="19"/>
  <c r="F63" i="19"/>
  <c r="G63" i="19"/>
  <c r="F65" i="19"/>
  <c r="G65" i="19"/>
  <c r="H67" i="19"/>
  <c r="G67" i="19"/>
  <c r="F67" i="19"/>
  <c r="F69" i="19"/>
  <c r="G69" i="19"/>
  <c r="G71" i="19"/>
  <c r="G121" i="19" s="1"/>
  <c r="F71" i="19"/>
  <c r="F121" i="19" s="1"/>
  <c r="H71" i="19"/>
  <c r="H121" i="19" s="1"/>
  <c r="G73" i="19"/>
  <c r="G123" i="19" s="1"/>
  <c r="F73" i="19"/>
  <c r="F123" i="19" s="1"/>
  <c r="H73" i="19"/>
  <c r="H123" i="19" s="1"/>
  <c r="G75" i="19"/>
  <c r="G125" i="19" s="1"/>
  <c r="F75" i="19"/>
  <c r="F125" i="19" s="1"/>
  <c r="H75" i="19"/>
  <c r="H125" i="19" s="1"/>
  <c r="G77" i="19"/>
  <c r="G127" i="19" s="1"/>
  <c r="F77" i="19"/>
  <c r="F127" i="19" s="1"/>
  <c r="H77" i="19"/>
  <c r="H127" i="19" s="1"/>
  <c r="G79" i="19"/>
  <c r="G129" i="19" s="1"/>
  <c r="F79" i="19"/>
  <c r="F129" i="19" s="1"/>
  <c r="H79" i="19"/>
  <c r="H129" i="19" s="1"/>
  <c r="G81" i="19"/>
  <c r="G131" i="19" s="1"/>
  <c r="F81" i="19"/>
  <c r="F131" i="19" s="1"/>
  <c r="H81" i="19"/>
  <c r="H131" i="19" s="1"/>
  <c r="G83" i="19"/>
  <c r="G133" i="19" s="1"/>
  <c r="F83" i="19"/>
  <c r="F133" i="19" s="1"/>
  <c r="H83" i="19"/>
  <c r="H133" i="19" s="1"/>
  <c r="G85" i="19"/>
  <c r="G135" i="19" s="1"/>
  <c r="F85" i="19"/>
  <c r="F135" i="19" s="1"/>
  <c r="H85" i="19"/>
  <c r="H135" i="19" s="1"/>
  <c r="G87" i="19"/>
  <c r="G137" i="19" s="1"/>
  <c r="F87" i="19"/>
  <c r="F137" i="19" s="1"/>
  <c r="H87" i="19"/>
  <c r="H137" i="19" s="1"/>
  <c r="G89" i="19"/>
  <c r="G139" i="19" s="1"/>
  <c r="F89" i="19"/>
  <c r="F139" i="19" s="1"/>
  <c r="H89" i="19"/>
  <c r="H139" i="19" s="1"/>
  <c r="G91" i="19"/>
  <c r="G141" i="19" s="1"/>
  <c r="F91" i="19"/>
  <c r="F141" i="19" s="1"/>
  <c r="H91" i="19"/>
  <c r="H141" i="19" s="1"/>
  <c r="G93" i="19"/>
  <c r="G143" i="19" s="1"/>
  <c r="F93" i="19"/>
  <c r="F143" i="19" s="1"/>
  <c r="H93" i="19"/>
  <c r="H143" i="19" s="1"/>
  <c r="G95" i="19"/>
  <c r="G145" i="19" s="1"/>
  <c r="F95" i="19"/>
  <c r="F145" i="19" s="1"/>
  <c r="H95" i="19"/>
  <c r="H145" i="19" s="1"/>
  <c r="G97" i="19"/>
  <c r="G147" i="19" s="1"/>
  <c r="F97" i="19"/>
  <c r="F147" i="19" s="1"/>
  <c r="H97" i="19"/>
  <c r="H147" i="19" s="1"/>
  <c r="G99" i="19"/>
  <c r="G149" i="19" s="1"/>
  <c r="F99" i="19"/>
  <c r="F149" i="19" s="1"/>
  <c r="H99" i="19"/>
  <c r="H149" i="19" s="1"/>
  <c r="C55" i="19"/>
  <c r="D64" i="19"/>
  <c r="M72" i="19"/>
  <c r="M122" i="19" s="1"/>
  <c r="E78" i="19"/>
  <c r="E128" i="19" s="1"/>
  <c r="M88" i="19"/>
  <c r="M138" i="19" s="1"/>
  <c r="E94" i="19"/>
  <c r="E144" i="19" s="1"/>
  <c r="I57" i="19"/>
  <c r="J57" i="19"/>
  <c r="K71" i="19"/>
  <c r="K121" i="19" s="1"/>
  <c r="J71" i="19"/>
  <c r="J121" i="19" s="1"/>
  <c r="K73" i="19"/>
  <c r="K123" i="19" s="1"/>
  <c r="J73" i="19"/>
  <c r="J123" i="19" s="1"/>
  <c r="K79" i="19"/>
  <c r="K129" i="19" s="1"/>
  <c r="J79" i="19"/>
  <c r="J129" i="19" s="1"/>
  <c r="K87" i="19"/>
  <c r="K137" i="19" s="1"/>
  <c r="J87" i="19"/>
  <c r="J137" i="19" s="1"/>
  <c r="K91" i="19"/>
  <c r="K141" i="19" s="1"/>
  <c r="J91" i="19"/>
  <c r="J141" i="19" s="1"/>
  <c r="K93" i="19"/>
  <c r="K143" i="19" s="1"/>
  <c r="J93" i="19"/>
  <c r="J143" i="19" s="1"/>
  <c r="K95" i="19"/>
  <c r="K145" i="19" s="1"/>
  <c r="J95" i="19"/>
  <c r="J145" i="19" s="1"/>
  <c r="K97" i="19"/>
  <c r="K147" i="19" s="1"/>
  <c r="J97" i="19"/>
  <c r="J147" i="19" s="1"/>
  <c r="K99" i="19"/>
  <c r="K149" i="19" s="1"/>
  <c r="J99" i="19"/>
  <c r="J149" i="19" s="1"/>
  <c r="L17" i="14"/>
  <c r="D17" i="14"/>
  <c r="K17" i="14"/>
  <c r="C17" i="14"/>
  <c r="J17" i="14"/>
  <c r="I17" i="14"/>
  <c r="H17" i="14"/>
  <c r="F17" i="14"/>
  <c r="G17" i="14"/>
  <c r="N17" i="14"/>
  <c r="M17" i="14"/>
  <c r="E17" i="14"/>
  <c r="I121" i="19"/>
  <c r="M124" i="19"/>
  <c r="I133" i="19"/>
  <c r="K55" i="19"/>
  <c r="I73" i="19"/>
  <c r="I123" i="19" s="1"/>
  <c r="I89" i="19"/>
  <c r="I139" i="19" s="1"/>
  <c r="K83" i="19"/>
  <c r="K133" i="19" s="1"/>
  <c r="J83" i="19"/>
  <c r="J133" i="19" s="1"/>
  <c r="M61" i="19"/>
  <c r="N61" i="19"/>
  <c r="L61" i="19"/>
  <c r="N71" i="19"/>
  <c r="N121" i="19" s="1"/>
  <c r="M71" i="19"/>
  <c r="M121" i="19" s="1"/>
  <c r="L71" i="19"/>
  <c r="L121" i="19" s="1"/>
  <c r="N77" i="19"/>
  <c r="N127" i="19" s="1"/>
  <c r="M77" i="19"/>
  <c r="M127" i="19" s="1"/>
  <c r="L77" i="19"/>
  <c r="L127" i="19" s="1"/>
  <c r="N89" i="19"/>
  <c r="N139" i="19" s="1"/>
  <c r="M89" i="19"/>
  <c r="M139" i="19" s="1"/>
  <c r="L89" i="19"/>
  <c r="L139" i="19" s="1"/>
  <c r="I18" i="14"/>
  <c r="C18" i="14"/>
  <c r="H18" i="14"/>
  <c r="G18" i="14"/>
  <c r="N18" i="14"/>
  <c r="F18" i="14"/>
  <c r="K18" i="14"/>
  <c r="M18" i="14"/>
  <c r="E18" i="14"/>
  <c r="L18" i="14"/>
  <c r="D18" i="14"/>
  <c r="J18" i="14"/>
  <c r="G56" i="19"/>
  <c r="I79" i="19"/>
  <c r="I129" i="19" s="1"/>
  <c r="I95" i="19"/>
  <c r="I145" i="19" s="1"/>
  <c r="M144" i="19"/>
  <c r="M146" i="19"/>
  <c r="M128" i="19"/>
  <c r="I137" i="19"/>
  <c r="I135" i="19"/>
  <c r="I143" i="19"/>
  <c r="I125" i="19"/>
  <c r="E134" i="19"/>
  <c r="M134" i="19"/>
  <c r="I141" i="19"/>
  <c r="I149" i="19"/>
  <c r="I131" i="19"/>
  <c r="E140" i="19"/>
  <c r="M140" i="19"/>
  <c r="K59" i="19"/>
  <c r="J60" i="19"/>
  <c r="D59" i="19"/>
  <c r="L59" i="19"/>
  <c r="K60" i="19"/>
  <c r="E59" i="19"/>
  <c r="I58" i="19"/>
  <c r="F59" i="19"/>
  <c r="M60" i="19"/>
  <c r="I61" i="19"/>
  <c r="J58" i="19"/>
  <c r="G59" i="19"/>
  <c r="F60" i="19"/>
  <c r="J61" i="19"/>
  <c r="C61" i="19"/>
  <c r="D61" i="19"/>
  <c r="I59" i="19"/>
  <c r="C60" i="19"/>
  <c r="D60" i="19"/>
  <c r="C58" i="19"/>
  <c r="D58" i="19"/>
  <c r="L62" i="19"/>
  <c r="N62" i="19"/>
  <c r="G62" i="19"/>
  <c r="D62" i="19"/>
  <c r="C62" i="19"/>
  <c r="C70" i="19"/>
  <c r="K70" i="19"/>
  <c r="E70" i="19"/>
  <c r="M70" i="19"/>
  <c r="F70" i="19"/>
  <c r="I70" i="19"/>
  <c r="H69" i="19"/>
  <c r="I69" i="19"/>
  <c r="L69" i="19"/>
  <c r="M69" i="19"/>
  <c r="C69" i="19"/>
  <c r="D69" i="19"/>
  <c r="K68" i="19"/>
  <c r="C68" i="19"/>
  <c r="L68" i="19"/>
  <c r="M68" i="19"/>
  <c r="F68" i="19"/>
  <c r="G68" i="19"/>
  <c r="I68" i="19"/>
  <c r="K66" i="19"/>
  <c r="E66" i="19"/>
  <c r="M66" i="19"/>
  <c r="F66" i="19"/>
  <c r="N66" i="19"/>
  <c r="G66" i="19"/>
  <c r="U66" i="15"/>
  <c r="J19" i="19" s="1"/>
  <c r="P66" i="15"/>
  <c r="N14" i="19" s="1"/>
  <c r="V66" i="15"/>
  <c r="K20" i="19" s="1"/>
  <c r="Q66" i="15"/>
  <c r="N15" i="19" s="1"/>
  <c r="N18" i="19"/>
  <c r="N118" i="19" s="1"/>
  <c r="F18" i="19"/>
  <c r="M18" i="19"/>
  <c r="E18" i="19"/>
  <c r="L18" i="19"/>
  <c r="D18" i="19"/>
  <c r="H18" i="19"/>
  <c r="H118" i="19" s="1"/>
  <c r="K18" i="19"/>
  <c r="C18" i="19"/>
  <c r="C118" i="19" s="1"/>
  <c r="J18" i="19"/>
  <c r="J118" i="19" s="1"/>
  <c r="I18" i="19"/>
  <c r="G18" i="19"/>
  <c r="R66" i="15"/>
  <c r="T68" i="15"/>
  <c r="T70" i="15" s="1"/>
  <c r="S66" i="15"/>
  <c r="O66" i="15"/>
  <c r="J159" i="1" l="1"/>
  <c r="Q28" i="25"/>
  <c r="R28" i="25" s="1"/>
  <c r="V57" i="1"/>
  <c r="E59" i="14"/>
  <c r="E82" i="14"/>
  <c r="H60" i="14"/>
  <c r="H83" i="14"/>
  <c r="D59" i="14"/>
  <c r="D82" i="14"/>
  <c r="E60" i="14"/>
  <c r="E83" i="14"/>
  <c r="I60" i="14"/>
  <c r="I83" i="14"/>
  <c r="G59" i="14"/>
  <c r="G82" i="14"/>
  <c r="L59" i="14"/>
  <c r="L82" i="14"/>
  <c r="J63" i="14"/>
  <c r="J86" i="14"/>
  <c r="N63" i="14"/>
  <c r="N86" i="14"/>
  <c r="G62" i="14"/>
  <c r="G85" i="14"/>
  <c r="E57" i="14"/>
  <c r="E80" i="14"/>
  <c r="I57" i="14"/>
  <c r="I80" i="14"/>
  <c r="D61" i="14"/>
  <c r="D84" i="14"/>
  <c r="N56" i="14"/>
  <c r="N79" i="14"/>
  <c r="L56" i="14"/>
  <c r="L79" i="14"/>
  <c r="K59" i="14"/>
  <c r="K82" i="14"/>
  <c r="H57" i="14"/>
  <c r="H80" i="14"/>
  <c r="C60" i="14"/>
  <c r="C83" i="14"/>
  <c r="N59" i="14"/>
  <c r="N82" i="14"/>
  <c r="M60" i="14"/>
  <c r="M83" i="14"/>
  <c r="F59" i="14"/>
  <c r="F82" i="14"/>
  <c r="C63" i="14"/>
  <c r="C86" i="14"/>
  <c r="G63" i="14"/>
  <c r="G86" i="14"/>
  <c r="H62" i="14"/>
  <c r="H85" i="14"/>
  <c r="M57" i="14"/>
  <c r="M80" i="14"/>
  <c r="D57" i="14"/>
  <c r="D80" i="14"/>
  <c r="L61" i="14"/>
  <c r="L84" i="14"/>
  <c r="H56" i="14"/>
  <c r="H79" i="14"/>
  <c r="E56" i="14"/>
  <c r="E79" i="14"/>
  <c r="N60" i="14"/>
  <c r="N83" i="14"/>
  <c r="K60" i="14"/>
  <c r="K83" i="14"/>
  <c r="H59" i="14"/>
  <c r="H82" i="14"/>
  <c r="K63" i="14"/>
  <c r="K86" i="14"/>
  <c r="I62" i="14"/>
  <c r="I85" i="14"/>
  <c r="F57" i="14"/>
  <c r="F80" i="14"/>
  <c r="J57" i="14"/>
  <c r="J80" i="14"/>
  <c r="C61" i="14"/>
  <c r="C84" i="14"/>
  <c r="E61" i="14"/>
  <c r="E84" i="14"/>
  <c r="C56" i="14"/>
  <c r="C79" i="14"/>
  <c r="M56" i="14"/>
  <c r="M79" i="14"/>
  <c r="H63" i="14"/>
  <c r="H86" i="14"/>
  <c r="F60" i="14"/>
  <c r="F83" i="14"/>
  <c r="I59" i="14"/>
  <c r="I82" i="14"/>
  <c r="D63" i="14"/>
  <c r="D86" i="14"/>
  <c r="D62" i="14"/>
  <c r="D85" i="14"/>
  <c r="E62" i="14"/>
  <c r="E85" i="14"/>
  <c r="N57" i="14"/>
  <c r="N80" i="14"/>
  <c r="G61" i="14"/>
  <c r="G84" i="14"/>
  <c r="M61" i="14"/>
  <c r="M84" i="14"/>
  <c r="I56" i="14"/>
  <c r="I79" i="14"/>
  <c r="J59" i="14"/>
  <c r="J82" i="14"/>
  <c r="L63" i="14"/>
  <c r="L86" i="14"/>
  <c r="L62" i="14"/>
  <c r="L85" i="14"/>
  <c r="J62" i="14"/>
  <c r="J85" i="14"/>
  <c r="C57" i="14"/>
  <c r="C80" i="14"/>
  <c r="I61" i="14"/>
  <c r="I84" i="14"/>
  <c r="F61" i="14"/>
  <c r="F84" i="14"/>
  <c r="J56" i="14"/>
  <c r="J79" i="14"/>
  <c r="G60" i="14"/>
  <c r="G83" i="14"/>
  <c r="C62" i="14"/>
  <c r="C85" i="14"/>
  <c r="M62" i="14"/>
  <c r="M85" i="14"/>
  <c r="G57" i="14"/>
  <c r="G80" i="14"/>
  <c r="J61" i="14"/>
  <c r="J84" i="14"/>
  <c r="N61" i="14"/>
  <c r="N84" i="14"/>
  <c r="G56" i="14"/>
  <c r="G79" i="14"/>
  <c r="E63" i="14"/>
  <c r="E86" i="14"/>
  <c r="F62" i="14"/>
  <c r="F85" i="14"/>
  <c r="K62" i="14"/>
  <c r="K85" i="14"/>
  <c r="K61" i="14"/>
  <c r="K84" i="14"/>
  <c r="K56" i="14"/>
  <c r="K79" i="14"/>
  <c r="J60" i="14"/>
  <c r="J83" i="14"/>
  <c r="C59" i="14"/>
  <c r="C82" i="14"/>
  <c r="D60" i="14"/>
  <c r="D83" i="14"/>
  <c r="M59" i="14"/>
  <c r="M82" i="14"/>
  <c r="M63" i="14"/>
  <c r="M86" i="14"/>
  <c r="L60" i="14"/>
  <c r="L83" i="14"/>
  <c r="I63" i="14"/>
  <c r="I86" i="14"/>
  <c r="F63" i="14"/>
  <c r="F86" i="14"/>
  <c r="N62" i="14"/>
  <c r="N85" i="14"/>
  <c r="K57" i="14"/>
  <c r="K80" i="14"/>
  <c r="L57" i="14"/>
  <c r="L80" i="14"/>
  <c r="H61" i="14"/>
  <c r="H84" i="14"/>
  <c r="F56" i="14"/>
  <c r="F79" i="14"/>
  <c r="D56" i="14"/>
  <c r="D79" i="14"/>
  <c r="C130" i="22"/>
  <c r="D131" i="22" s="1"/>
  <c r="P46" i="23"/>
  <c r="R5" i="23"/>
  <c r="R27" i="23"/>
  <c r="P48" i="23"/>
  <c r="L122" i="23"/>
  <c r="M102" i="23"/>
  <c r="M13" i="23"/>
  <c r="P105" i="23"/>
  <c r="P112" i="23" s="1"/>
  <c r="M37" i="23"/>
  <c r="N24" i="23"/>
  <c r="P103" i="23"/>
  <c r="P110" i="23" s="1"/>
  <c r="Q117" i="23" s="1"/>
  <c r="M45" i="23"/>
  <c r="R25" i="23"/>
  <c r="L48" i="1"/>
  <c r="M41" i="1"/>
  <c r="N27" i="1" s="1"/>
  <c r="J119" i="19"/>
  <c r="M15" i="19"/>
  <c r="M115" i="19" s="1"/>
  <c r="N115" i="19"/>
  <c r="E118" i="19"/>
  <c r="D118" i="19"/>
  <c r="N114" i="19"/>
  <c r="G16" i="14"/>
  <c r="N16" i="14"/>
  <c r="F16" i="14"/>
  <c r="M16" i="14"/>
  <c r="E16" i="14"/>
  <c r="C16" i="14"/>
  <c r="L16" i="14"/>
  <c r="D16" i="14"/>
  <c r="K16" i="14"/>
  <c r="J16" i="14"/>
  <c r="H16" i="14"/>
  <c r="I16" i="14"/>
  <c r="M20" i="19"/>
  <c r="M120" i="19" s="1"/>
  <c r="D15" i="19"/>
  <c r="D115" i="19" s="1"/>
  <c r="C20" i="19"/>
  <c r="C120" i="19" s="1"/>
  <c r="G15" i="19"/>
  <c r="G115" i="19" s="1"/>
  <c r="F15" i="19"/>
  <c r="F115" i="19" s="1"/>
  <c r="M118" i="19"/>
  <c r="K118" i="19"/>
  <c r="K120" i="19"/>
  <c r="L118" i="19"/>
  <c r="I118" i="19"/>
  <c r="G118" i="19"/>
  <c r="F118" i="19"/>
  <c r="E15" i="19"/>
  <c r="E115" i="19" s="1"/>
  <c r="L19" i="19"/>
  <c r="L119" i="19" s="1"/>
  <c r="H15" i="19"/>
  <c r="H115" i="19" s="1"/>
  <c r="H20" i="19"/>
  <c r="H120" i="19" s="1"/>
  <c r="L20" i="19"/>
  <c r="L120" i="19" s="1"/>
  <c r="J20" i="19"/>
  <c r="J120" i="19" s="1"/>
  <c r="E20" i="19"/>
  <c r="E120" i="19" s="1"/>
  <c r="F20" i="19"/>
  <c r="F120" i="19" s="1"/>
  <c r="I20" i="19"/>
  <c r="I120" i="19" s="1"/>
  <c r="D20" i="19"/>
  <c r="D120" i="19" s="1"/>
  <c r="C19" i="19"/>
  <c r="C119" i="19" s="1"/>
  <c r="E14" i="19"/>
  <c r="E114" i="19" s="1"/>
  <c r="H19" i="19"/>
  <c r="H119" i="19" s="1"/>
  <c r="G19" i="19"/>
  <c r="G119" i="19" s="1"/>
  <c r="F19" i="19"/>
  <c r="F119" i="19" s="1"/>
  <c r="E19" i="19"/>
  <c r="E119" i="19" s="1"/>
  <c r="H14" i="19"/>
  <c r="H114" i="19" s="1"/>
  <c r="F14" i="19"/>
  <c r="F114" i="19" s="1"/>
  <c r="K19" i="19"/>
  <c r="K119" i="19" s="1"/>
  <c r="N19" i="19"/>
  <c r="N119" i="19" s="1"/>
  <c r="G14" i="19"/>
  <c r="G114" i="19" s="1"/>
  <c r="D19" i="19"/>
  <c r="D119" i="19" s="1"/>
  <c r="M19" i="19"/>
  <c r="M119" i="19" s="1"/>
  <c r="I19" i="19"/>
  <c r="I119" i="19" s="1"/>
  <c r="L14" i="19"/>
  <c r="L114" i="19" s="1"/>
  <c r="K14" i="19"/>
  <c r="K114" i="19" s="1"/>
  <c r="J14" i="19"/>
  <c r="J114" i="19" s="1"/>
  <c r="M14" i="19"/>
  <c r="M114" i="19" s="1"/>
  <c r="D14" i="19"/>
  <c r="D114" i="19" s="1"/>
  <c r="C14" i="19"/>
  <c r="C114" i="19" s="1"/>
  <c r="I14" i="19"/>
  <c r="I114" i="19" s="1"/>
  <c r="I15" i="19"/>
  <c r="I115" i="19" s="1"/>
  <c r="J15" i="19"/>
  <c r="J115" i="19" s="1"/>
  <c r="K15" i="19"/>
  <c r="K115" i="19" s="1"/>
  <c r="C15" i="19"/>
  <c r="C115" i="19" s="1"/>
  <c r="L15" i="19"/>
  <c r="L115" i="19" s="1"/>
  <c r="N20" i="19"/>
  <c r="N120" i="19" s="1"/>
  <c r="G20" i="19"/>
  <c r="G120" i="19" s="1"/>
  <c r="J17" i="19"/>
  <c r="J117" i="19" s="1"/>
  <c r="I17" i="19"/>
  <c r="I117" i="19" s="1"/>
  <c r="K17" i="19"/>
  <c r="K117" i="19" s="1"/>
  <c r="H17" i="19"/>
  <c r="H117" i="19" s="1"/>
  <c r="G17" i="19"/>
  <c r="G117" i="19" s="1"/>
  <c r="C17" i="19"/>
  <c r="C117" i="19" s="1"/>
  <c r="N17" i="19"/>
  <c r="N117" i="19" s="1"/>
  <c r="F17" i="19"/>
  <c r="F117" i="19" s="1"/>
  <c r="L17" i="19"/>
  <c r="L117" i="19" s="1"/>
  <c r="M17" i="19"/>
  <c r="M117" i="19" s="1"/>
  <c r="E17" i="19"/>
  <c r="E117" i="19" s="1"/>
  <c r="D17" i="19"/>
  <c r="D117" i="19" s="1"/>
  <c r="N16" i="19"/>
  <c r="N116" i="19" s="1"/>
  <c r="F16" i="19"/>
  <c r="F116" i="19" s="1"/>
  <c r="M16" i="19"/>
  <c r="M116" i="19" s="1"/>
  <c r="E16" i="19"/>
  <c r="E116" i="19" s="1"/>
  <c r="L16" i="19"/>
  <c r="L116" i="19" s="1"/>
  <c r="D16" i="19"/>
  <c r="D116" i="19" s="1"/>
  <c r="K16" i="19"/>
  <c r="K116" i="19" s="1"/>
  <c r="C16" i="19"/>
  <c r="C116" i="19" s="1"/>
  <c r="J16" i="19"/>
  <c r="J116" i="19" s="1"/>
  <c r="H16" i="19"/>
  <c r="H116" i="19" s="1"/>
  <c r="G16" i="19"/>
  <c r="G116" i="19" s="1"/>
  <c r="I16" i="19"/>
  <c r="I116" i="19" s="1"/>
  <c r="J13" i="19"/>
  <c r="J113" i="19" s="1"/>
  <c r="I13" i="19"/>
  <c r="I113" i="19" s="1"/>
  <c r="H13" i="19"/>
  <c r="H113" i="19" s="1"/>
  <c r="G13" i="19"/>
  <c r="G113" i="19" s="1"/>
  <c r="L13" i="19"/>
  <c r="L113" i="19" s="1"/>
  <c r="K13" i="19"/>
  <c r="K113" i="19" s="1"/>
  <c r="N13" i="19"/>
  <c r="N113" i="19" s="1"/>
  <c r="F13" i="19"/>
  <c r="F113" i="19" s="1"/>
  <c r="D13" i="19"/>
  <c r="D113" i="19" s="1"/>
  <c r="M13" i="19"/>
  <c r="M113" i="19" s="1"/>
  <c r="E13" i="19"/>
  <c r="E113" i="19" s="1"/>
  <c r="C13" i="19"/>
  <c r="C113" i="19" s="1"/>
  <c r="N19" i="25" l="1"/>
  <c r="O19" i="25" s="1"/>
  <c r="K58" i="14"/>
  <c r="K81" i="14"/>
  <c r="D58" i="14"/>
  <c r="D81" i="14"/>
  <c r="G58" i="14"/>
  <c r="G81" i="14"/>
  <c r="L58" i="14"/>
  <c r="L81" i="14"/>
  <c r="C58" i="14"/>
  <c r="C81" i="14"/>
  <c r="I58" i="14"/>
  <c r="I81" i="14"/>
  <c r="M58" i="14"/>
  <c r="M81" i="14"/>
  <c r="E58" i="14"/>
  <c r="E81" i="14"/>
  <c r="H58" i="14"/>
  <c r="H81" i="14"/>
  <c r="F58" i="14"/>
  <c r="F81" i="14"/>
  <c r="J58" i="14"/>
  <c r="J81" i="14"/>
  <c r="N58" i="14"/>
  <c r="N81" i="14"/>
  <c r="D133" i="22"/>
  <c r="D134" i="22" s="1"/>
  <c r="D135" i="22" s="1"/>
  <c r="Q46" i="23"/>
  <c r="Q48" i="23"/>
  <c r="Q119" i="23"/>
  <c r="M50" i="23"/>
  <c r="M58" i="23" s="1"/>
  <c r="M60" i="23" s="1"/>
  <c r="M61" i="23" s="1"/>
  <c r="M95" i="23"/>
  <c r="M122" i="23" s="1"/>
  <c r="S5" i="23"/>
  <c r="Q103" i="23"/>
  <c r="Q110" i="23" s="1"/>
  <c r="R117" i="23" s="1"/>
  <c r="M109" i="23"/>
  <c r="Q105" i="23"/>
  <c r="Q112" i="23" s="1"/>
  <c r="R119" i="23" s="1"/>
  <c r="S25" i="23"/>
  <c r="R48" i="23"/>
  <c r="S27" i="23"/>
  <c r="N45" i="23"/>
  <c r="N23" i="23"/>
  <c r="M48" i="1"/>
  <c r="N41" i="1"/>
  <c r="O27" i="1" s="1"/>
  <c r="I37" i="1"/>
  <c r="J25" i="1"/>
  <c r="J24" i="1"/>
  <c r="N64" i="15"/>
  <c r="N66" i="15" s="1"/>
  <c r="M64" i="15"/>
  <c r="M68" i="15" s="1"/>
  <c r="M70" i="15" s="1"/>
  <c r="L64" i="15"/>
  <c r="L68" i="15" s="1"/>
  <c r="L70" i="15" s="1"/>
  <c r="K64" i="15"/>
  <c r="K68" i="15" s="1"/>
  <c r="K70" i="15" s="1"/>
  <c r="J64" i="15"/>
  <c r="J68" i="15" s="1"/>
  <c r="H64" i="15"/>
  <c r="H68" i="15" s="1"/>
  <c r="H70" i="15" s="1"/>
  <c r="G64" i="15"/>
  <c r="G66" i="15" s="1"/>
  <c r="F64" i="15"/>
  <c r="F68" i="15" s="1"/>
  <c r="F70" i="15" s="1"/>
  <c r="E64" i="15"/>
  <c r="E66" i="15" s="1"/>
  <c r="C64" i="15"/>
  <c r="I63" i="15"/>
  <c r="D63" i="15"/>
  <c r="I62" i="15"/>
  <c r="D62" i="15"/>
  <c r="I61" i="15"/>
  <c r="D61" i="15"/>
  <c r="I60" i="15"/>
  <c r="D60" i="15"/>
  <c r="I59" i="15"/>
  <c r="D59" i="15"/>
  <c r="I58" i="15"/>
  <c r="D58" i="15"/>
  <c r="I57" i="15"/>
  <c r="D57" i="15"/>
  <c r="I56" i="15"/>
  <c r="D56" i="15"/>
  <c r="I55" i="15"/>
  <c r="D55" i="15"/>
  <c r="I54" i="15"/>
  <c r="D54" i="15"/>
  <c r="I53" i="15"/>
  <c r="D53" i="15"/>
  <c r="I52" i="15"/>
  <c r="D52" i="15"/>
  <c r="I51" i="15"/>
  <c r="D51" i="15"/>
  <c r="I50" i="15"/>
  <c r="D50" i="15"/>
  <c r="I49" i="15"/>
  <c r="D49" i="15"/>
  <c r="I48" i="15"/>
  <c r="D48" i="15"/>
  <c r="I47" i="15"/>
  <c r="D47" i="15"/>
  <c r="I46" i="15"/>
  <c r="D46" i="15"/>
  <c r="I45" i="15"/>
  <c r="D45" i="15"/>
  <c r="I44" i="15"/>
  <c r="D44" i="15"/>
  <c r="I43" i="15"/>
  <c r="D43" i="15"/>
  <c r="I42" i="15"/>
  <c r="D42" i="15"/>
  <c r="I41" i="15"/>
  <c r="D41" i="15"/>
  <c r="I40" i="15"/>
  <c r="D40" i="15"/>
  <c r="I39" i="15"/>
  <c r="D39" i="15"/>
  <c r="I38" i="15"/>
  <c r="D38" i="15"/>
  <c r="I37" i="15"/>
  <c r="D37" i="15"/>
  <c r="I36" i="15"/>
  <c r="D36" i="15"/>
  <c r="I35" i="15"/>
  <c r="D35" i="15"/>
  <c r="I34" i="15"/>
  <c r="D34" i="15"/>
  <c r="I33" i="15"/>
  <c r="D33" i="15"/>
  <c r="I32" i="15"/>
  <c r="D32" i="15"/>
  <c r="I31" i="15"/>
  <c r="D31" i="15"/>
  <c r="I30" i="15"/>
  <c r="D30" i="15"/>
  <c r="I29" i="15"/>
  <c r="D29" i="15"/>
  <c r="I28" i="15"/>
  <c r="D28" i="15"/>
  <c r="I27" i="15"/>
  <c r="D27" i="15"/>
  <c r="I26" i="15"/>
  <c r="D26" i="15"/>
  <c r="I25" i="15"/>
  <c r="D25" i="15"/>
  <c r="I24" i="15"/>
  <c r="D24" i="15"/>
  <c r="I23" i="15"/>
  <c r="D23" i="15"/>
  <c r="I22" i="15"/>
  <c r="D22" i="15"/>
  <c r="I21" i="15"/>
  <c r="D21" i="15"/>
  <c r="I20" i="15"/>
  <c r="D20" i="15"/>
  <c r="I19" i="15"/>
  <c r="D19" i="15"/>
  <c r="I18" i="15"/>
  <c r="D18" i="15"/>
  <c r="I17" i="15"/>
  <c r="D17" i="15"/>
  <c r="I16" i="15"/>
  <c r="D16" i="15"/>
  <c r="I15" i="15"/>
  <c r="D15" i="15"/>
  <c r="I14" i="15"/>
  <c r="D14" i="15"/>
  <c r="I13" i="15"/>
  <c r="D13" i="15"/>
  <c r="I12" i="15"/>
  <c r="D12" i="15"/>
  <c r="I11" i="15"/>
  <c r="D11" i="15"/>
  <c r="I10" i="15"/>
  <c r="D10" i="15"/>
  <c r="I9" i="15"/>
  <c r="D9" i="15"/>
  <c r="I8" i="15"/>
  <c r="D8" i="15"/>
  <c r="D7" i="15"/>
  <c r="D6" i="15"/>
  <c r="D5" i="15"/>
  <c r="D4" i="15"/>
  <c r="O18" i="23" l="1"/>
  <c r="M21" i="25"/>
  <c r="R18" i="23"/>
  <c r="K18" i="23"/>
  <c r="N18" i="23"/>
  <c r="S18" i="23"/>
  <c r="T18" i="1"/>
  <c r="L18" i="1"/>
  <c r="L10" i="1" s="1"/>
  <c r="L104" i="1" s="1"/>
  <c r="Q18" i="1"/>
  <c r="U18" i="1"/>
  <c r="O18" i="1"/>
  <c r="O10" i="1" s="1"/>
  <c r="O104" i="1" s="1"/>
  <c r="S18" i="1"/>
  <c r="M18" i="1"/>
  <c r="M10" i="1" s="1"/>
  <c r="R18" i="1"/>
  <c r="K18" i="1"/>
  <c r="K10" i="1" s="1"/>
  <c r="K104" i="1" s="1"/>
  <c r="P18" i="1"/>
  <c r="N18" i="1"/>
  <c r="N10" i="1" s="1"/>
  <c r="N104" i="1" s="1"/>
  <c r="J18" i="1"/>
  <c r="J10" i="1" s="1"/>
  <c r="P18" i="23"/>
  <c r="Q18" i="23"/>
  <c r="M18" i="23"/>
  <c r="L18" i="23"/>
  <c r="T18" i="23"/>
  <c r="J18" i="23"/>
  <c r="U18" i="23"/>
  <c r="R46" i="23"/>
  <c r="G21" i="25" s="1"/>
  <c r="N50" i="23"/>
  <c r="N58" i="23" s="1"/>
  <c r="N102" i="23"/>
  <c r="N13" i="23"/>
  <c r="T27" i="23"/>
  <c r="M108" i="23"/>
  <c r="N116" i="23"/>
  <c r="O24" i="23"/>
  <c r="N37" i="23"/>
  <c r="R103" i="23"/>
  <c r="R110" i="23" s="1"/>
  <c r="S117" i="23" s="1"/>
  <c r="R105" i="23"/>
  <c r="R112" i="23" s="1"/>
  <c r="S119" i="23" s="1"/>
  <c r="J89" i="23"/>
  <c r="J91" i="23" s="1"/>
  <c r="T25" i="23"/>
  <c r="S46" i="23"/>
  <c r="T5" i="23"/>
  <c r="N48" i="1"/>
  <c r="O41" i="1"/>
  <c r="P27" i="1" s="1"/>
  <c r="N11" i="14"/>
  <c r="F11" i="14"/>
  <c r="H11" i="14"/>
  <c r="M11" i="14"/>
  <c r="E11" i="14"/>
  <c r="L11" i="14"/>
  <c r="D11" i="14"/>
  <c r="K11" i="14"/>
  <c r="J11" i="14"/>
  <c r="I11" i="14"/>
  <c r="G11" i="14"/>
  <c r="C11" i="14"/>
  <c r="M6" i="14"/>
  <c r="E6" i="14"/>
  <c r="G6" i="14"/>
  <c r="L6" i="14"/>
  <c r="D6" i="14"/>
  <c r="K6" i="14"/>
  <c r="J6" i="14"/>
  <c r="I6" i="14"/>
  <c r="C6" i="14"/>
  <c r="H6" i="14"/>
  <c r="N6" i="14"/>
  <c r="F6" i="14"/>
  <c r="K12" i="14"/>
  <c r="J12" i="14"/>
  <c r="M12" i="14"/>
  <c r="I12" i="14"/>
  <c r="E12" i="14"/>
  <c r="H12" i="14"/>
  <c r="G12" i="14"/>
  <c r="N12" i="14"/>
  <c r="F12" i="14"/>
  <c r="L12" i="14"/>
  <c r="D12" i="14"/>
  <c r="C12" i="14"/>
  <c r="G8" i="14"/>
  <c r="N8" i="14"/>
  <c r="F8" i="14"/>
  <c r="M8" i="14"/>
  <c r="E8" i="14"/>
  <c r="C8" i="14"/>
  <c r="I8" i="14"/>
  <c r="L8" i="14"/>
  <c r="D8" i="14"/>
  <c r="K8" i="14"/>
  <c r="J8" i="14"/>
  <c r="H8" i="14"/>
  <c r="I10" i="14"/>
  <c r="C10" i="14"/>
  <c r="H10" i="14"/>
  <c r="G10" i="14"/>
  <c r="N10" i="14"/>
  <c r="F10" i="14"/>
  <c r="M10" i="14"/>
  <c r="E10" i="14"/>
  <c r="L10" i="14"/>
  <c r="D10" i="14"/>
  <c r="K10" i="14"/>
  <c r="J10" i="14"/>
  <c r="J70" i="15"/>
  <c r="N4" i="19"/>
  <c r="N104" i="19" s="1"/>
  <c r="F4" i="19"/>
  <c r="F104" i="19" s="1"/>
  <c r="M4" i="19"/>
  <c r="M104" i="19" s="1"/>
  <c r="E4" i="19"/>
  <c r="E104" i="19" s="1"/>
  <c r="L4" i="19"/>
  <c r="L104" i="19" s="1"/>
  <c r="D4" i="19"/>
  <c r="D104" i="19" s="1"/>
  <c r="K4" i="19"/>
  <c r="K104" i="19" s="1"/>
  <c r="C4" i="19"/>
  <c r="C104" i="19" s="1"/>
  <c r="J4" i="19"/>
  <c r="J104" i="19" s="1"/>
  <c r="I4" i="19"/>
  <c r="I104" i="19" s="1"/>
  <c r="H4" i="19"/>
  <c r="H104" i="19" s="1"/>
  <c r="G4" i="19"/>
  <c r="G104" i="19" s="1"/>
  <c r="N6" i="19"/>
  <c r="N106" i="19" s="1"/>
  <c r="F6" i="19"/>
  <c r="F106" i="19" s="1"/>
  <c r="M6" i="19"/>
  <c r="M106" i="19" s="1"/>
  <c r="E6" i="19"/>
  <c r="E106" i="19" s="1"/>
  <c r="L6" i="19"/>
  <c r="L106" i="19" s="1"/>
  <c r="D6" i="19"/>
  <c r="D106" i="19" s="1"/>
  <c r="K6" i="19"/>
  <c r="K106" i="19" s="1"/>
  <c r="C6" i="19"/>
  <c r="C106" i="19" s="1"/>
  <c r="I6" i="19"/>
  <c r="I106" i="19" s="1"/>
  <c r="J6" i="19"/>
  <c r="J106" i="19" s="1"/>
  <c r="H6" i="19"/>
  <c r="H106" i="19" s="1"/>
  <c r="G6" i="19"/>
  <c r="G106" i="19" s="1"/>
  <c r="N12" i="19"/>
  <c r="N112" i="19" s="1"/>
  <c r="F12" i="19"/>
  <c r="F112" i="19" s="1"/>
  <c r="M12" i="19"/>
  <c r="M112" i="19" s="1"/>
  <c r="E12" i="19"/>
  <c r="E112" i="19" s="1"/>
  <c r="L12" i="19"/>
  <c r="L112" i="19" s="1"/>
  <c r="D12" i="19"/>
  <c r="D112" i="19" s="1"/>
  <c r="K12" i="19"/>
  <c r="K112" i="19" s="1"/>
  <c r="C12" i="19"/>
  <c r="C112" i="19" s="1"/>
  <c r="J12" i="19"/>
  <c r="J112" i="19" s="1"/>
  <c r="I12" i="19"/>
  <c r="I112" i="19" s="1"/>
  <c r="H12" i="19"/>
  <c r="H112" i="19" s="1"/>
  <c r="G12" i="19"/>
  <c r="G112" i="19" s="1"/>
  <c r="N68" i="15"/>
  <c r="N70" i="15" s="1"/>
  <c r="G68" i="15"/>
  <c r="G70" i="15" s="1"/>
  <c r="F66" i="15"/>
  <c r="M66" i="15"/>
  <c r="E68" i="15"/>
  <c r="D64" i="15"/>
  <c r="I64" i="15"/>
  <c r="H66" i="15"/>
  <c r="J66" i="15"/>
  <c r="K66" i="15"/>
  <c r="L66" i="15"/>
  <c r="A130" i="7"/>
  <c r="A129" i="7"/>
  <c r="A128" i="7"/>
  <c r="A127" i="7"/>
  <c r="A126" i="7"/>
  <c r="J104" i="1" l="1"/>
  <c r="N8" i="25"/>
  <c r="O8" i="25" s="1"/>
  <c r="M104" i="1"/>
  <c r="N9" i="25"/>
  <c r="O9" i="25" s="1"/>
  <c r="N60" i="23"/>
  <c r="M52" i="14"/>
  <c r="M75" i="14"/>
  <c r="J50" i="14"/>
  <c r="J73" i="14"/>
  <c r="G54" i="14"/>
  <c r="G77" i="14"/>
  <c r="N48" i="14"/>
  <c r="N71" i="14"/>
  <c r="G48" i="14"/>
  <c r="G71" i="14"/>
  <c r="D53" i="14"/>
  <c r="D76" i="14"/>
  <c r="F52" i="14"/>
  <c r="F75" i="14"/>
  <c r="K50" i="14"/>
  <c r="K73" i="14"/>
  <c r="N50" i="14"/>
  <c r="N73" i="14"/>
  <c r="H54" i="14"/>
  <c r="H77" i="14"/>
  <c r="H48" i="14"/>
  <c r="H71" i="14"/>
  <c r="E48" i="14"/>
  <c r="E71" i="14"/>
  <c r="L53" i="14"/>
  <c r="L76" i="14"/>
  <c r="M50" i="14"/>
  <c r="M73" i="14"/>
  <c r="F50" i="14"/>
  <c r="F73" i="14"/>
  <c r="N52" i="14"/>
  <c r="N75" i="14"/>
  <c r="D50" i="14"/>
  <c r="D73" i="14"/>
  <c r="G50" i="14"/>
  <c r="G73" i="14"/>
  <c r="E54" i="14"/>
  <c r="E77" i="14"/>
  <c r="C48" i="14"/>
  <c r="C71" i="14"/>
  <c r="M48" i="14"/>
  <c r="M71" i="14"/>
  <c r="E53" i="14"/>
  <c r="E76" i="14"/>
  <c r="H50" i="14"/>
  <c r="H73" i="14"/>
  <c r="F48" i="14"/>
  <c r="F71" i="14"/>
  <c r="K53" i="14"/>
  <c r="K76" i="14"/>
  <c r="G52" i="14"/>
  <c r="G75" i="14"/>
  <c r="C54" i="14"/>
  <c r="C77" i="14"/>
  <c r="I48" i="14"/>
  <c r="I71" i="14"/>
  <c r="M53" i="14"/>
  <c r="M76" i="14"/>
  <c r="H52" i="14"/>
  <c r="H75" i="14"/>
  <c r="D54" i="14"/>
  <c r="D77" i="14"/>
  <c r="J48" i="14"/>
  <c r="J71" i="14"/>
  <c r="H53" i="14"/>
  <c r="H76" i="14"/>
  <c r="D52" i="14"/>
  <c r="D75" i="14"/>
  <c r="C52" i="14"/>
  <c r="C75" i="14"/>
  <c r="C50" i="14"/>
  <c r="C73" i="14"/>
  <c r="L54" i="14"/>
  <c r="L77" i="14"/>
  <c r="J54" i="14"/>
  <c r="J77" i="14"/>
  <c r="K48" i="14"/>
  <c r="K71" i="14"/>
  <c r="I53" i="14"/>
  <c r="I76" i="14"/>
  <c r="F53" i="14"/>
  <c r="F76" i="14"/>
  <c r="E52" i="14"/>
  <c r="E75" i="14"/>
  <c r="N54" i="14"/>
  <c r="N77" i="14"/>
  <c r="L48" i="14"/>
  <c r="L71" i="14"/>
  <c r="J52" i="14"/>
  <c r="J75" i="14"/>
  <c r="L50" i="14"/>
  <c r="L73" i="14"/>
  <c r="I54" i="14"/>
  <c r="I77" i="14"/>
  <c r="C53" i="14"/>
  <c r="C76" i="14"/>
  <c r="K52" i="14"/>
  <c r="K75" i="14"/>
  <c r="I50" i="14"/>
  <c r="I73" i="14"/>
  <c r="M54" i="14"/>
  <c r="M77" i="14"/>
  <c r="G53" i="14"/>
  <c r="G76" i="14"/>
  <c r="L52" i="14"/>
  <c r="L75" i="14"/>
  <c r="I52" i="14"/>
  <c r="I75" i="14"/>
  <c r="E50" i="14"/>
  <c r="E73" i="14"/>
  <c r="F54" i="14"/>
  <c r="F77" i="14"/>
  <c r="K54" i="14"/>
  <c r="K77" i="14"/>
  <c r="D48" i="14"/>
  <c r="D71" i="14"/>
  <c r="J53" i="14"/>
  <c r="J76" i="14"/>
  <c r="N53" i="14"/>
  <c r="N76" i="14"/>
  <c r="J92" i="23"/>
  <c r="U27" i="23"/>
  <c r="S48" i="23"/>
  <c r="U5" i="23"/>
  <c r="O45" i="23"/>
  <c r="O23" i="23"/>
  <c r="N61" i="23"/>
  <c r="N95" i="23"/>
  <c r="S103" i="23"/>
  <c r="S110" i="23" s="1"/>
  <c r="T117" i="23" s="1"/>
  <c r="N115" i="23"/>
  <c r="N109" i="23"/>
  <c r="U25" i="23"/>
  <c r="S105" i="23"/>
  <c r="S112" i="23"/>
  <c r="T119" i="23" s="1"/>
  <c r="O48" i="1"/>
  <c r="P10" i="1"/>
  <c r="P41" i="1"/>
  <c r="Q27" i="1" s="1"/>
  <c r="E70" i="15"/>
  <c r="H5" i="14" s="1"/>
  <c r="C73" i="18"/>
  <c r="F5" i="18" s="1"/>
  <c r="L9" i="14"/>
  <c r="D9" i="14"/>
  <c r="K9" i="14"/>
  <c r="C9" i="14"/>
  <c r="J9" i="14"/>
  <c r="I9" i="14"/>
  <c r="N9" i="14"/>
  <c r="H9" i="14"/>
  <c r="F9" i="14"/>
  <c r="G9" i="14"/>
  <c r="M9" i="14"/>
  <c r="E9" i="14"/>
  <c r="J7" i="14"/>
  <c r="I7" i="14"/>
  <c r="C7" i="14"/>
  <c r="D7" i="14"/>
  <c r="H7" i="14"/>
  <c r="G7" i="14"/>
  <c r="N7" i="14"/>
  <c r="F7" i="14"/>
  <c r="M7" i="14"/>
  <c r="E7" i="14"/>
  <c r="L7" i="14"/>
  <c r="K7" i="14"/>
  <c r="H13" i="14"/>
  <c r="G13" i="14"/>
  <c r="N13" i="14"/>
  <c r="F13" i="14"/>
  <c r="M13" i="14"/>
  <c r="E13" i="14"/>
  <c r="L13" i="14"/>
  <c r="D13" i="14"/>
  <c r="K13" i="14"/>
  <c r="C13" i="14"/>
  <c r="J13" i="14"/>
  <c r="I13" i="14"/>
  <c r="N8" i="19"/>
  <c r="N108" i="19" s="1"/>
  <c r="F8" i="19"/>
  <c r="F108" i="19" s="1"/>
  <c r="M8" i="19"/>
  <c r="M108" i="19" s="1"/>
  <c r="E8" i="19"/>
  <c r="E108" i="19" s="1"/>
  <c r="L8" i="19"/>
  <c r="L108" i="19" s="1"/>
  <c r="D8" i="19"/>
  <c r="D108" i="19" s="1"/>
  <c r="K8" i="19"/>
  <c r="K108" i="19" s="1"/>
  <c r="C8" i="19"/>
  <c r="C108" i="19" s="1"/>
  <c r="J8" i="19"/>
  <c r="J108" i="19" s="1"/>
  <c r="I8" i="19"/>
  <c r="I108" i="19" s="1"/>
  <c r="H8" i="19"/>
  <c r="H108" i="19" s="1"/>
  <c r="G8" i="19"/>
  <c r="G108" i="19" s="1"/>
  <c r="J5" i="19"/>
  <c r="J105" i="19" s="1"/>
  <c r="I5" i="19"/>
  <c r="I105" i="19" s="1"/>
  <c r="H5" i="19"/>
  <c r="H105" i="19" s="1"/>
  <c r="E5" i="19"/>
  <c r="E105" i="19" s="1"/>
  <c r="G5" i="19"/>
  <c r="G105" i="19" s="1"/>
  <c r="N5" i="19"/>
  <c r="N105" i="19" s="1"/>
  <c r="F5" i="19"/>
  <c r="F105" i="19" s="1"/>
  <c r="M5" i="19"/>
  <c r="M105" i="19" s="1"/>
  <c r="L5" i="19"/>
  <c r="L105" i="19" s="1"/>
  <c r="D5" i="19"/>
  <c r="D105" i="19" s="1"/>
  <c r="K5" i="19"/>
  <c r="K105" i="19" s="1"/>
  <c r="C5" i="19"/>
  <c r="C105" i="19" s="1"/>
  <c r="K7" i="19"/>
  <c r="K107" i="19" s="1"/>
  <c r="J7" i="19"/>
  <c r="J107" i="19" s="1"/>
  <c r="I7" i="19"/>
  <c r="I107" i="19" s="1"/>
  <c r="F7" i="19"/>
  <c r="F107" i="19" s="1"/>
  <c r="H7" i="19"/>
  <c r="H107" i="19" s="1"/>
  <c r="C7" i="19"/>
  <c r="C107" i="19" s="1"/>
  <c r="G7" i="19"/>
  <c r="G107" i="19" s="1"/>
  <c r="N7" i="19"/>
  <c r="N107" i="19" s="1"/>
  <c r="M7" i="19"/>
  <c r="M107" i="19" s="1"/>
  <c r="E7" i="19"/>
  <c r="E107" i="19" s="1"/>
  <c r="L7" i="19"/>
  <c r="L107" i="19" s="1"/>
  <c r="D7" i="19"/>
  <c r="D107" i="19" s="1"/>
  <c r="N10" i="19"/>
  <c r="N110" i="19" s="1"/>
  <c r="F10" i="19"/>
  <c r="F110" i="19" s="1"/>
  <c r="M10" i="19"/>
  <c r="M110" i="19" s="1"/>
  <c r="E10" i="19"/>
  <c r="E110" i="19" s="1"/>
  <c r="L10" i="19"/>
  <c r="L110" i="19" s="1"/>
  <c r="D10" i="19"/>
  <c r="D110" i="19" s="1"/>
  <c r="I10" i="19"/>
  <c r="I110" i="19" s="1"/>
  <c r="K10" i="19"/>
  <c r="K110" i="19" s="1"/>
  <c r="C10" i="19"/>
  <c r="C110" i="19" s="1"/>
  <c r="J10" i="19"/>
  <c r="J110" i="19" s="1"/>
  <c r="H10" i="19"/>
  <c r="H110" i="19" s="1"/>
  <c r="G10" i="19"/>
  <c r="G110" i="19" s="1"/>
  <c r="J11" i="19"/>
  <c r="J111" i="19" s="1"/>
  <c r="I11" i="19"/>
  <c r="I111" i="19" s="1"/>
  <c r="H11" i="19"/>
  <c r="H111" i="19" s="1"/>
  <c r="M11" i="19"/>
  <c r="M111" i="19" s="1"/>
  <c r="G11" i="19"/>
  <c r="G111" i="19" s="1"/>
  <c r="E11" i="19"/>
  <c r="E111" i="19" s="1"/>
  <c r="N11" i="19"/>
  <c r="N111" i="19" s="1"/>
  <c r="F11" i="19"/>
  <c r="F111" i="19" s="1"/>
  <c r="L11" i="19"/>
  <c r="L111" i="19" s="1"/>
  <c r="D11" i="19"/>
  <c r="D111" i="19" s="1"/>
  <c r="K11" i="19"/>
  <c r="K111" i="19" s="1"/>
  <c r="C11" i="19"/>
  <c r="C111" i="19" s="1"/>
  <c r="J9" i="19"/>
  <c r="J109" i="19" s="1"/>
  <c r="I9" i="19"/>
  <c r="I109" i="19" s="1"/>
  <c r="H9" i="19"/>
  <c r="H109" i="19" s="1"/>
  <c r="E9" i="19"/>
  <c r="E109" i="19" s="1"/>
  <c r="G9" i="19"/>
  <c r="G109" i="19" s="1"/>
  <c r="N9" i="19"/>
  <c r="N109" i="19" s="1"/>
  <c r="F9" i="19"/>
  <c r="F109" i="19" s="1"/>
  <c r="M9" i="19"/>
  <c r="M109" i="19" s="1"/>
  <c r="L9" i="19"/>
  <c r="L109" i="19" s="1"/>
  <c r="D9" i="19"/>
  <c r="D109" i="19" s="1"/>
  <c r="K9" i="19"/>
  <c r="K109" i="19" s="1"/>
  <c r="C9" i="19"/>
  <c r="C109" i="19" s="1"/>
  <c r="N20" i="25" l="1"/>
  <c r="O20" i="25" s="1"/>
  <c r="P104" i="1"/>
  <c r="O50" i="23"/>
  <c r="O58" i="23" s="1"/>
  <c r="D20" i="25"/>
  <c r="J55" i="14"/>
  <c r="J78" i="14"/>
  <c r="N49" i="14"/>
  <c r="N72" i="14"/>
  <c r="K51" i="14"/>
  <c r="K74" i="14"/>
  <c r="G55" i="14"/>
  <c r="G78" i="14"/>
  <c r="G51" i="14"/>
  <c r="G74" i="14"/>
  <c r="K55" i="14"/>
  <c r="K78" i="14"/>
  <c r="H55" i="14"/>
  <c r="H78" i="14"/>
  <c r="H49" i="14"/>
  <c r="H72" i="14"/>
  <c r="F51" i="14"/>
  <c r="F74" i="14"/>
  <c r="L51" i="14"/>
  <c r="L74" i="14"/>
  <c r="C55" i="14"/>
  <c r="C78" i="14"/>
  <c r="G49" i="14"/>
  <c r="G72" i="14"/>
  <c r="D51" i="14"/>
  <c r="D74" i="14"/>
  <c r="D55" i="14"/>
  <c r="D78" i="14"/>
  <c r="K49" i="14"/>
  <c r="K72" i="14"/>
  <c r="D49" i="14"/>
  <c r="D72" i="14"/>
  <c r="H51" i="14"/>
  <c r="H74" i="14"/>
  <c r="L55" i="14"/>
  <c r="L78" i="14"/>
  <c r="N51" i="14"/>
  <c r="N74" i="14"/>
  <c r="L49" i="14"/>
  <c r="L72" i="14"/>
  <c r="H47" i="14"/>
  <c r="H70" i="14"/>
  <c r="E55" i="14"/>
  <c r="E78" i="14"/>
  <c r="I49" i="14"/>
  <c r="I72" i="14"/>
  <c r="M55" i="14"/>
  <c r="M78" i="14"/>
  <c r="M49" i="14"/>
  <c r="M72" i="14"/>
  <c r="J49" i="14"/>
  <c r="J72" i="14"/>
  <c r="J51" i="14"/>
  <c r="J74" i="14"/>
  <c r="C49" i="14"/>
  <c r="C72" i="14"/>
  <c r="E49" i="14"/>
  <c r="E72" i="14"/>
  <c r="I51" i="14"/>
  <c r="I74" i="14"/>
  <c r="I55" i="14"/>
  <c r="I78" i="14"/>
  <c r="F55" i="14"/>
  <c r="F78" i="14"/>
  <c r="F49" i="14"/>
  <c r="F72" i="14"/>
  <c r="E51" i="14"/>
  <c r="E74" i="14"/>
  <c r="C51" i="14"/>
  <c r="C74" i="14"/>
  <c r="N55" i="14"/>
  <c r="N78" i="14"/>
  <c r="M51" i="14"/>
  <c r="M74" i="14"/>
  <c r="N122" i="23"/>
  <c r="T48" i="23"/>
  <c r="M22" i="25" s="1"/>
  <c r="V39" i="23"/>
  <c r="U46" i="23"/>
  <c r="O102" i="23"/>
  <c r="O95" i="23" s="1"/>
  <c r="O13" i="23"/>
  <c r="O60" i="23" s="1"/>
  <c r="P24" i="23"/>
  <c r="O37" i="23"/>
  <c r="T105" i="23"/>
  <c r="T112" i="23" s="1"/>
  <c r="U119" i="23" s="1"/>
  <c r="V119" i="23" s="1"/>
  <c r="W119" i="23" s="1"/>
  <c r="V41" i="23"/>
  <c r="U48" i="23"/>
  <c r="O116" i="23"/>
  <c r="N108" i="23"/>
  <c r="T103" i="23"/>
  <c r="T110" i="23" s="1"/>
  <c r="U117" i="23" s="1"/>
  <c r="V117" i="23" s="1"/>
  <c r="W117" i="23" s="1"/>
  <c r="T46" i="23"/>
  <c r="G22" i="25" s="1"/>
  <c r="P48" i="1"/>
  <c r="Q10" i="1"/>
  <c r="Q104" i="1" s="1"/>
  <c r="Q41" i="1"/>
  <c r="R27" i="1" s="1"/>
  <c r="I5" i="14"/>
  <c r="J5" i="14"/>
  <c r="F5" i="14"/>
  <c r="N5" i="14"/>
  <c r="K5" i="14"/>
  <c r="L5" i="14"/>
  <c r="E5" i="14"/>
  <c r="M5" i="14"/>
  <c r="C5" i="14"/>
  <c r="G5" i="14"/>
  <c r="D5" i="14"/>
  <c r="F150" i="19"/>
  <c r="M31" i="1" s="1"/>
  <c r="M129" i="1" s="1"/>
  <c r="H150" i="19"/>
  <c r="O31" i="1" s="1"/>
  <c r="O129" i="1" s="1"/>
  <c r="L150" i="19"/>
  <c r="S31" i="1" s="1"/>
  <c r="S129" i="1" s="1"/>
  <c r="J150" i="19"/>
  <c r="Q31" i="1" s="1"/>
  <c r="Q129" i="1" s="1"/>
  <c r="E150" i="19"/>
  <c r="L31" i="1" s="1"/>
  <c r="L129" i="1" s="1"/>
  <c r="D150" i="19"/>
  <c r="K31" i="1" s="1"/>
  <c r="K129" i="1" s="1"/>
  <c r="C150" i="19"/>
  <c r="J31" i="1" s="1"/>
  <c r="I150" i="19"/>
  <c r="P31" i="1" s="1"/>
  <c r="P129" i="1" s="1"/>
  <c r="N150" i="19"/>
  <c r="U31" i="1" s="1"/>
  <c r="U129" i="1" s="1"/>
  <c r="M150" i="19"/>
  <c r="T31" i="1" s="1"/>
  <c r="T129" i="1" s="1"/>
  <c r="K150" i="19"/>
  <c r="R31" i="1" s="1"/>
  <c r="R129" i="1" s="1"/>
  <c r="G150" i="19"/>
  <c r="N31" i="1" s="1"/>
  <c r="N129" i="1" s="1"/>
  <c r="V214" i="1"/>
  <c r="V213" i="1"/>
  <c r="V212" i="1"/>
  <c r="V211" i="1"/>
  <c r="H64" i="14" l="1"/>
  <c r="O32" i="1" s="1"/>
  <c r="O130" i="1" s="1"/>
  <c r="G47" i="14"/>
  <c r="G64" i="14" s="1"/>
  <c r="N32" i="1" s="1"/>
  <c r="N130" i="1" s="1"/>
  <c r="G70" i="14"/>
  <c r="G87" i="14" s="1"/>
  <c r="N54" i="1" s="1"/>
  <c r="J47" i="14"/>
  <c r="J64" i="14" s="1"/>
  <c r="Q32" i="1" s="1"/>
  <c r="Q130" i="1" s="1"/>
  <c r="J70" i="14"/>
  <c r="J87" i="14" s="1"/>
  <c r="Q54" i="1" s="1"/>
  <c r="D47" i="14"/>
  <c r="D64" i="14" s="1"/>
  <c r="K32" i="1" s="1"/>
  <c r="K130" i="1" s="1"/>
  <c r="D70" i="14"/>
  <c r="D87" i="14" s="1"/>
  <c r="K54" i="1" s="1"/>
  <c r="C47" i="14"/>
  <c r="C64" i="14" s="1"/>
  <c r="J32" i="1" s="1"/>
  <c r="J39" i="1" s="1"/>
  <c r="J46" i="1" s="1"/>
  <c r="C70" i="14"/>
  <c r="C87" i="14" s="1"/>
  <c r="J54" i="1" s="1"/>
  <c r="I47" i="14"/>
  <c r="I64" i="14" s="1"/>
  <c r="P32" i="1" s="1"/>
  <c r="P130" i="1" s="1"/>
  <c r="I70" i="14"/>
  <c r="I87" i="14" s="1"/>
  <c r="P54" i="1" s="1"/>
  <c r="F47" i="14"/>
  <c r="F64" i="14" s="1"/>
  <c r="M32" i="1" s="1"/>
  <c r="M130" i="1" s="1"/>
  <c r="F70" i="14"/>
  <c r="F87" i="14" s="1"/>
  <c r="M54" i="1" s="1"/>
  <c r="M47" i="14"/>
  <c r="M64" i="14" s="1"/>
  <c r="T32" i="1" s="1"/>
  <c r="T130" i="1" s="1"/>
  <c r="M70" i="14"/>
  <c r="M87" i="14" s="1"/>
  <c r="T54" i="1" s="1"/>
  <c r="E47" i="14"/>
  <c r="E64" i="14" s="1"/>
  <c r="L32" i="1" s="1"/>
  <c r="L130" i="1" s="1"/>
  <c r="E70" i="14"/>
  <c r="E87" i="14" s="1"/>
  <c r="L54" i="1" s="1"/>
  <c r="L47" i="14"/>
  <c r="L64" i="14" s="1"/>
  <c r="S32" i="1" s="1"/>
  <c r="S130" i="1" s="1"/>
  <c r="L70" i="14"/>
  <c r="L87" i="14" s="1"/>
  <c r="S54" i="1" s="1"/>
  <c r="K47" i="14"/>
  <c r="K64" i="14" s="1"/>
  <c r="R32" i="1" s="1"/>
  <c r="R130" i="1" s="1"/>
  <c r="K70" i="14"/>
  <c r="K87" i="14" s="1"/>
  <c r="R54" i="1" s="1"/>
  <c r="N47" i="14"/>
  <c r="N64" i="14" s="1"/>
  <c r="U32" i="1" s="1"/>
  <c r="U130" i="1" s="1"/>
  <c r="N70" i="14"/>
  <c r="N87" i="14" s="1"/>
  <c r="U54" i="1" s="1"/>
  <c r="H87" i="14"/>
  <c r="O54" i="1" s="1"/>
  <c r="V48" i="23"/>
  <c r="W48" i="23" s="1"/>
  <c r="U105" i="23"/>
  <c r="V105" i="23" s="1"/>
  <c r="W105" i="23" s="1"/>
  <c r="V10" i="23"/>
  <c r="P23" i="23"/>
  <c r="P45" i="23"/>
  <c r="O61" i="23"/>
  <c r="O109" i="23"/>
  <c r="O115" i="23"/>
  <c r="O122" i="23" s="1"/>
  <c r="V46" i="23"/>
  <c r="W46" i="23" s="1"/>
  <c r="U103" i="23"/>
  <c r="V103" i="23" s="1"/>
  <c r="W103" i="23" s="1"/>
  <c r="V8" i="23"/>
  <c r="Q48" i="1"/>
  <c r="R41" i="1"/>
  <c r="S27" i="1" s="1"/>
  <c r="R10" i="1"/>
  <c r="R104" i="1" s="1"/>
  <c r="J7" i="1"/>
  <c r="J129" i="1"/>
  <c r="J38" i="1"/>
  <c r="J45" i="1" s="1"/>
  <c r="N10" i="25" l="1"/>
  <c r="O10" i="25" s="1"/>
  <c r="H29" i="25"/>
  <c r="I29" i="25" s="1"/>
  <c r="H31" i="25"/>
  <c r="I31" i="25" s="1"/>
  <c r="H30" i="25"/>
  <c r="I30" i="25" s="1"/>
  <c r="H28" i="25"/>
  <c r="I28" i="25" s="1"/>
  <c r="J101" i="1"/>
  <c r="P50" i="23"/>
  <c r="P58" i="23" s="1"/>
  <c r="J130" i="1"/>
  <c r="J8" i="1"/>
  <c r="V54" i="1"/>
  <c r="P102" i="23"/>
  <c r="P95" i="23" s="1"/>
  <c r="P13" i="23"/>
  <c r="P60" i="23" s="1"/>
  <c r="V86" i="23"/>
  <c r="P37" i="23"/>
  <c r="Q24" i="23"/>
  <c r="U110" i="23"/>
  <c r="V110" i="23" s="1"/>
  <c r="W110" i="23" s="1"/>
  <c r="P116" i="23"/>
  <c r="O108" i="23"/>
  <c r="U112" i="23"/>
  <c r="V112" i="23" s="1"/>
  <c r="W112" i="23" s="1"/>
  <c r="R48" i="1"/>
  <c r="S41" i="1"/>
  <c r="T27" i="1" s="1"/>
  <c r="S10" i="1"/>
  <c r="N21" i="25" l="1"/>
  <c r="O21" i="25" s="1"/>
  <c r="S104" i="1"/>
  <c r="J102" i="1"/>
  <c r="P109" i="23"/>
  <c r="P108" i="23" s="1"/>
  <c r="Y86" i="23"/>
  <c r="W86" i="23"/>
  <c r="P61" i="23"/>
  <c r="P115" i="23"/>
  <c r="P122" i="23" s="1"/>
  <c r="Q23" i="23"/>
  <c r="Q116" i="23"/>
  <c r="Q115" i="23" s="1"/>
  <c r="S48" i="1"/>
  <c r="T41" i="1"/>
  <c r="U27" i="1" s="1"/>
  <c r="T10" i="1"/>
  <c r="T104" i="1" s="1"/>
  <c r="J158" i="1"/>
  <c r="K89" i="23" l="1"/>
  <c r="K91" i="23" s="1"/>
  <c r="Q37" i="23"/>
  <c r="R24" i="23"/>
  <c r="Q45" i="23"/>
  <c r="Q13" i="23"/>
  <c r="Q102" i="23"/>
  <c r="Q95" i="23" s="1"/>
  <c r="Q122" i="23" s="1"/>
  <c r="T48" i="1"/>
  <c r="U41" i="1"/>
  <c r="U48" i="1" s="1"/>
  <c r="U10" i="1"/>
  <c r="U104" i="1" s="1"/>
  <c r="A158" i="1"/>
  <c r="A157" i="1"/>
  <c r="N22" i="25" l="1"/>
  <c r="O22" i="25" s="1"/>
  <c r="N11" i="25"/>
  <c r="O11" i="25" s="1"/>
  <c r="Q50" i="23"/>
  <c r="Q58" i="23" s="1"/>
  <c r="Q60" i="23" s="1"/>
  <c r="Q61" i="23" s="1"/>
  <c r="K92" i="23"/>
  <c r="R23" i="23"/>
  <c r="Q109" i="23"/>
  <c r="J153" i="1"/>
  <c r="J154" i="1"/>
  <c r="K154" i="1"/>
  <c r="A153" i="1"/>
  <c r="A154" i="1"/>
  <c r="A152" i="1"/>
  <c r="R116" i="23" l="1"/>
  <c r="R115" i="23" s="1"/>
  <c r="Q108" i="23"/>
  <c r="R37" i="23"/>
  <c r="S24" i="23"/>
  <c r="R102" i="23"/>
  <c r="R95" i="23" s="1"/>
  <c r="R13" i="23"/>
  <c r="R45" i="23"/>
  <c r="J147" i="1"/>
  <c r="J146" i="1"/>
  <c r="J145" i="1"/>
  <c r="J144" i="1"/>
  <c r="J116" i="1"/>
  <c r="J117" i="1"/>
  <c r="J118" i="1"/>
  <c r="J119" i="1"/>
  <c r="J115" i="1"/>
  <c r="A102" i="1"/>
  <c r="A130" i="1" s="1"/>
  <c r="A103" i="1"/>
  <c r="A131" i="1" s="1"/>
  <c r="A104" i="1"/>
  <c r="A111" i="1" s="1"/>
  <c r="A118" i="1" s="1"/>
  <c r="A105" i="1"/>
  <c r="I99" i="1" s="1"/>
  <c r="A101" i="1"/>
  <c r="A129" i="1" s="1"/>
  <c r="R50" i="23" l="1"/>
  <c r="R58" i="23" s="1"/>
  <c r="R60" i="23" s="1"/>
  <c r="R61" i="23" s="1"/>
  <c r="D21" i="25"/>
  <c r="R122" i="23"/>
  <c r="R109" i="23"/>
  <c r="R108" i="23" s="1"/>
  <c r="S116" i="23"/>
  <c r="S115" i="23" s="1"/>
  <c r="S45" i="23"/>
  <c r="S23" i="23"/>
  <c r="A136" i="1"/>
  <c r="A143" i="1" s="1"/>
  <c r="I123" i="1"/>
  <c r="A137" i="1"/>
  <c r="A144" i="1" s="1"/>
  <c r="I124" i="1"/>
  <c r="I125" i="1"/>
  <c r="A138" i="1"/>
  <c r="A145" i="1" s="1"/>
  <c r="A110" i="1"/>
  <c r="A117" i="1" s="1"/>
  <c r="I97" i="1"/>
  <c r="A133" i="1"/>
  <c r="A108" i="1"/>
  <c r="A115" i="1" s="1"/>
  <c r="A109" i="1"/>
  <c r="A116" i="1" s="1"/>
  <c r="I98" i="1"/>
  <c r="A132" i="1"/>
  <c r="A112" i="1"/>
  <c r="A119" i="1" s="1"/>
  <c r="I95" i="1"/>
  <c r="I96" i="1"/>
  <c r="J114" i="1"/>
  <c r="I215" i="1"/>
  <c r="S50" i="23" l="1"/>
  <c r="S58" i="23" s="1"/>
  <c r="S102" i="23"/>
  <c r="S95" i="23" s="1"/>
  <c r="S122" i="23" s="1"/>
  <c r="S13" i="23"/>
  <c r="S37" i="23"/>
  <c r="T24" i="23"/>
  <c r="O168" i="1"/>
  <c r="N168" i="1"/>
  <c r="U168" i="1"/>
  <c r="M168" i="1"/>
  <c r="T168" i="1"/>
  <c r="L168" i="1"/>
  <c r="S168" i="1"/>
  <c r="K168" i="1"/>
  <c r="P168" i="1"/>
  <c r="R168" i="1"/>
  <c r="Q168" i="1"/>
  <c r="I221" i="1"/>
  <c r="J221" i="1" s="1"/>
  <c r="I219" i="1"/>
  <c r="I220" i="1"/>
  <c r="J220" i="1" s="1"/>
  <c r="I168" i="1"/>
  <c r="I222" i="1"/>
  <c r="J222" i="1" s="1"/>
  <c r="V215" i="1"/>
  <c r="J168" i="1"/>
  <c r="A139" i="1"/>
  <c r="A146" i="1" s="1"/>
  <c r="I126" i="1"/>
  <c r="A140" i="1"/>
  <c r="A147" i="1" s="1"/>
  <c r="I127" i="1"/>
  <c r="S60" i="23" l="1"/>
  <c r="S61" i="23"/>
  <c r="T23" i="23"/>
  <c r="S109" i="23"/>
  <c r="V168" i="1"/>
  <c r="Y168" i="1" s="1"/>
  <c r="K221" i="1"/>
  <c r="L221" i="1" s="1"/>
  <c r="M221" i="1" s="1"/>
  <c r="N221" i="1" s="1"/>
  <c r="O221" i="1" s="1"/>
  <c r="P221" i="1" s="1"/>
  <c r="Q221" i="1" s="1"/>
  <c r="R221" i="1" s="1"/>
  <c r="S221" i="1" s="1"/>
  <c r="T221" i="1" s="1"/>
  <c r="U221" i="1" s="1"/>
  <c r="K222" i="1"/>
  <c r="L222" i="1" s="1"/>
  <c r="M222" i="1" s="1"/>
  <c r="N222" i="1" s="1"/>
  <c r="O222" i="1" s="1"/>
  <c r="P222" i="1" s="1"/>
  <c r="Q222" i="1" s="1"/>
  <c r="R222" i="1" s="1"/>
  <c r="S222" i="1" s="1"/>
  <c r="T222" i="1" s="1"/>
  <c r="U222" i="1" s="1"/>
  <c r="J219" i="1"/>
  <c r="I223" i="1"/>
  <c r="K220" i="1"/>
  <c r="L220" i="1" s="1"/>
  <c r="M220" i="1" s="1"/>
  <c r="N220" i="1" s="1"/>
  <c r="O220" i="1" s="1"/>
  <c r="P220" i="1" s="1"/>
  <c r="Q220" i="1" s="1"/>
  <c r="R220" i="1" s="1"/>
  <c r="S220" i="1" s="1"/>
  <c r="T220" i="1" s="1"/>
  <c r="U220" i="1" s="1"/>
  <c r="T116" i="23" l="1"/>
  <c r="T115" i="23" s="1"/>
  <c r="S108" i="23"/>
  <c r="T102" i="23"/>
  <c r="T95" i="23" s="1"/>
  <c r="T13" i="23"/>
  <c r="U24" i="23"/>
  <c r="T37" i="23"/>
  <c r="L89" i="23"/>
  <c r="L91" i="23" s="1"/>
  <c r="T45" i="23"/>
  <c r="W168" i="1"/>
  <c r="V221" i="1"/>
  <c r="V220" i="1"/>
  <c r="V222" i="1"/>
  <c r="K219" i="1"/>
  <c r="J223" i="1"/>
  <c r="J86" i="1" s="1"/>
  <c r="V28" i="1"/>
  <c r="A32" i="1"/>
  <c r="A33" i="1"/>
  <c r="A34" i="1"/>
  <c r="A35" i="1"/>
  <c r="A31" i="1"/>
  <c r="V25" i="1"/>
  <c r="V26" i="1"/>
  <c r="V27" i="1"/>
  <c r="V24" i="1"/>
  <c r="A39" i="1"/>
  <c r="A40" i="1"/>
  <c r="A41" i="1"/>
  <c r="A42" i="1"/>
  <c r="A38" i="1"/>
  <c r="I16" i="1"/>
  <c r="I17" i="1"/>
  <c r="I18" i="1"/>
  <c r="I19" i="1"/>
  <c r="I15" i="1"/>
  <c r="A28" i="1"/>
  <c r="A27" i="1"/>
  <c r="A26" i="1"/>
  <c r="A25" i="1"/>
  <c r="A24" i="1"/>
  <c r="A46" i="1"/>
  <c r="A47" i="1"/>
  <c r="A48" i="1"/>
  <c r="A49" i="1"/>
  <c r="A45" i="1"/>
  <c r="I13" i="1"/>
  <c r="T50" i="23" l="1"/>
  <c r="T58" i="23" s="1"/>
  <c r="T60" i="23" s="1"/>
  <c r="T61" i="23" s="1"/>
  <c r="T122" i="23"/>
  <c r="U23" i="23"/>
  <c r="L92" i="23"/>
  <c r="T109" i="23"/>
  <c r="J112" i="1"/>
  <c r="L219" i="1"/>
  <c r="K223" i="1"/>
  <c r="K86" i="1" s="1"/>
  <c r="I176" i="1"/>
  <c r="I177" i="1" s="1"/>
  <c r="V23" i="1"/>
  <c r="J108" i="1"/>
  <c r="J23" i="1"/>
  <c r="J13" i="1"/>
  <c r="B135" i="7" s="1"/>
  <c r="B146" i="7" s="1"/>
  <c r="K119" i="1" l="1"/>
  <c r="U102" i="23"/>
  <c r="U13" i="23"/>
  <c r="V7" i="23"/>
  <c r="V13" i="23" s="1"/>
  <c r="U37" i="23"/>
  <c r="V38" i="23"/>
  <c r="U45" i="23"/>
  <c r="D22" i="25" s="1"/>
  <c r="U116" i="23"/>
  <c r="T108" i="23"/>
  <c r="K111" i="1"/>
  <c r="L118" i="1" s="1"/>
  <c r="K112" i="1"/>
  <c r="L119" i="1" s="1"/>
  <c r="K110" i="1"/>
  <c r="V176" i="1"/>
  <c r="J176" i="1"/>
  <c r="J196" i="1" s="1"/>
  <c r="B185" i="1"/>
  <c r="T190" i="1" s="1"/>
  <c r="M219" i="1"/>
  <c r="L223" i="1"/>
  <c r="L86" i="1" s="1"/>
  <c r="J111" i="1"/>
  <c r="J110" i="1"/>
  <c r="K117" i="1" s="1"/>
  <c r="J109" i="1"/>
  <c r="K115" i="1"/>
  <c r="J94" i="1"/>
  <c r="J50" i="1"/>
  <c r="J58" i="1" s="1"/>
  <c r="K24" i="1"/>
  <c r="V37" i="23" l="1"/>
  <c r="U50" i="23"/>
  <c r="U58" i="23" s="1"/>
  <c r="U60" i="23" s="1"/>
  <c r="U61" i="23" s="1"/>
  <c r="V45" i="23"/>
  <c r="V50" i="23" s="1"/>
  <c r="V58" i="23" s="1"/>
  <c r="V60" i="23" s="1"/>
  <c r="Z7" i="23"/>
  <c r="Z1" i="23"/>
  <c r="U115" i="23"/>
  <c r="V116" i="23"/>
  <c r="U95" i="23"/>
  <c r="V102" i="23"/>
  <c r="U109" i="23"/>
  <c r="K38" i="1"/>
  <c r="K45" i="1" s="1"/>
  <c r="K7" i="1"/>
  <c r="L111" i="1"/>
  <c r="M118" i="1" s="1"/>
  <c r="L112" i="1"/>
  <c r="J37" i="1"/>
  <c r="R190" i="1"/>
  <c r="S190" i="1"/>
  <c r="J190" i="1"/>
  <c r="N190" i="1"/>
  <c r="Q190" i="1"/>
  <c r="L190" i="1"/>
  <c r="O190" i="1"/>
  <c r="U190" i="1"/>
  <c r="P190" i="1"/>
  <c r="K190" i="1"/>
  <c r="J189" i="1"/>
  <c r="N219" i="1"/>
  <c r="M223" i="1"/>
  <c r="M86" i="1" s="1"/>
  <c r="M190" i="1"/>
  <c r="J140" i="1"/>
  <c r="J107" i="1"/>
  <c r="K118" i="1"/>
  <c r="L117" i="1"/>
  <c r="L110" i="1"/>
  <c r="K116" i="1"/>
  <c r="J121" i="1"/>
  <c r="K25" i="1"/>
  <c r="M119" i="1" l="1"/>
  <c r="K101" i="1"/>
  <c r="U122" i="23"/>
  <c r="V61" i="23"/>
  <c r="Z8" i="23"/>
  <c r="Z2" i="23"/>
  <c r="W102" i="23"/>
  <c r="V95" i="23"/>
  <c r="W45" i="23"/>
  <c r="W116" i="23"/>
  <c r="V115" i="23"/>
  <c r="W115" i="23" s="1"/>
  <c r="U108" i="23"/>
  <c r="V109" i="23"/>
  <c r="K39" i="1"/>
  <c r="L25" i="1" s="1"/>
  <c r="L39" i="1" s="1"/>
  <c r="K8" i="1"/>
  <c r="M110" i="1"/>
  <c r="N117" i="1" s="1"/>
  <c r="B147" i="7"/>
  <c r="M117" i="1"/>
  <c r="V190" i="1"/>
  <c r="K137" i="1"/>
  <c r="K140" i="1"/>
  <c r="J191" i="1"/>
  <c r="V189" i="1"/>
  <c r="O219" i="1"/>
  <c r="N223" i="1"/>
  <c r="N86" i="1" s="1"/>
  <c r="K139" i="1"/>
  <c r="M112" i="1"/>
  <c r="K147" i="1"/>
  <c r="M111" i="1"/>
  <c r="N118" i="1" s="1"/>
  <c r="K114" i="1"/>
  <c r="J139" i="1"/>
  <c r="J30" i="1"/>
  <c r="J137" i="1"/>
  <c r="J136" i="1"/>
  <c r="K23" i="1"/>
  <c r="L24" i="1"/>
  <c r="N119" i="1" l="1"/>
  <c r="V122" i="23"/>
  <c r="W95" i="23"/>
  <c r="W109" i="23"/>
  <c r="V108" i="23"/>
  <c r="W108" i="23" s="1"/>
  <c r="K102" i="1"/>
  <c r="K94" i="1" s="1"/>
  <c r="K121" i="1" s="1"/>
  <c r="L8" i="1"/>
  <c r="H8" i="25" s="1"/>
  <c r="I8" i="25" s="1"/>
  <c r="K37" i="1"/>
  <c r="K46" i="1"/>
  <c r="K108" i="1"/>
  <c r="K13" i="1"/>
  <c r="C135" i="7" s="1"/>
  <c r="C146" i="7" s="1"/>
  <c r="L46" i="1"/>
  <c r="L38" i="1"/>
  <c r="L45" i="1" s="1"/>
  <c r="L7" i="1"/>
  <c r="N110" i="1"/>
  <c r="O117" i="1" s="1"/>
  <c r="N112" i="1"/>
  <c r="N111" i="1"/>
  <c r="O118" i="1" s="1"/>
  <c r="K153" i="1"/>
  <c r="J152" i="1"/>
  <c r="L144" i="1"/>
  <c r="L146" i="1"/>
  <c r="P219" i="1"/>
  <c r="O223" i="1"/>
  <c r="O86" i="1" s="1"/>
  <c r="J163" i="1"/>
  <c r="J85" i="1"/>
  <c r="J192" i="1"/>
  <c r="L154" i="1"/>
  <c r="L147" i="1"/>
  <c r="L139" i="1"/>
  <c r="M146" i="1" s="1"/>
  <c r="K146" i="1"/>
  <c r="L145" i="1"/>
  <c r="K145" i="1"/>
  <c r="M145" i="1"/>
  <c r="K144" i="1"/>
  <c r="J122" i="1"/>
  <c r="J143" i="1"/>
  <c r="J135" i="1"/>
  <c r="K30" i="1"/>
  <c r="K136" i="1"/>
  <c r="M25" i="1"/>
  <c r="L23" i="1"/>
  <c r="J5" i="1"/>
  <c r="O119" i="1" l="1"/>
  <c r="K50" i="1"/>
  <c r="K58" i="1" s="1"/>
  <c r="H19" i="25"/>
  <c r="I19" i="25" s="1"/>
  <c r="L101" i="1"/>
  <c r="E8" i="25"/>
  <c r="E19" i="25"/>
  <c r="F19" i="25" s="1"/>
  <c r="M89" i="23"/>
  <c r="M91" i="23" s="1"/>
  <c r="W122" i="23"/>
  <c r="L102" i="1"/>
  <c r="L109" i="1" s="1"/>
  <c r="M116" i="1" s="1"/>
  <c r="K109" i="1"/>
  <c r="L116" i="1" s="1"/>
  <c r="B134" i="7"/>
  <c r="B145" i="7" s="1"/>
  <c r="M13" i="2"/>
  <c r="L37" i="1"/>
  <c r="M24" i="1"/>
  <c r="M38" i="1" s="1"/>
  <c r="M45" i="1" s="1"/>
  <c r="L115" i="1"/>
  <c r="L50" i="1"/>
  <c r="L58" i="1" s="1"/>
  <c r="L13" i="1"/>
  <c r="D135" i="7" s="1"/>
  <c r="D146" i="7" s="1"/>
  <c r="M8" i="1"/>
  <c r="M39" i="1"/>
  <c r="M46" i="1" s="1"/>
  <c r="O112" i="1"/>
  <c r="O110" i="1"/>
  <c r="P117" i="1" s="1"/>
  <c r="C147" i="7"/>
  <c r="K152" i="1"/>
  <c r="K151" i="1" s="1"/>
  <c r="J193" i="1"/>
  <c r="J169" i="1"/>
  <c r="J198" i="1"/>
  <c r="Q219" i="1"/>
  <c r="P223" i="1"/>
  <c r="P86" i="1" s="1"/>
  <c r="J60" i="1"/>
  <c r="L153" i="1"/>
  <c r="M154" i="1"/>
  <c r="K5" i="1"/>
  <c r="L137" i="1"/>
  <c r="K122" i="1"/>
  <c r="J142" i="1"/>
  <c r="J149" i="1" s="1"/>
  <c r="L30" i="1"/>
  <c r="J151" i="1"/>
  <c r="K143" i="1"/>
  <c r="K142" i="1" s="1"/>
  <c r="K135" i="1"/>
  <c r="B136" i="7" l="1"/>
  <c r="B137" i="7" s="1"/>
  <c r="J61" i="1"/>
  <c r="J158" i="23"/>
  <c r="P119" i="1"/>
  <c r="F8" i="25"/>
  <c r="F5" i="28" s="1"/>
  <c r="E5" i="28"/>
  <c r="M92" i="23"/>
  <c r="K107" i="1"/>
  <c r="L114" i="1"/>
  <c r="C134" i="7"/>
  <c r="C145" i="7" s="1"/>
  <c r="N13" i="2"/>
  <c r="M102" i="1"/>
  <c r="M109" i="1" s="1"/>
  <c r="N116" i="1" s="1"/>
  <c r="M7" i="1"/>
  <c r="M23" i="1"/>
  <c r="L108" i="1"/>
  <c r="L94" i="1"/>
  <c r="N25" i="1"/>
  <c r="M50" i="1"/>
  <c r="M58" i="1" s="1"/>
  <c r="P110" i="1"/>
  <c r="Q117" i="1" s="1"/>
  <c r="P112" i="1"/>
  <c r="P111" i="1"/>
  <c r="Q118" i="1" s="1"/>
  <c r="B148" i="7"/>
  <c r="M153" i="1"/>
  <c r="L152" i="1"/>
  <c r="K189" i="1"/>
  <c r="R219" i="1"/>
  <c r="Q223" i="1"/>
  <c r="Q86" i="1" s="1"/>
  <c r="K60" i="1"/>
  <c r="N154" i="1"/>
  <c r="L122" i="1"/>
  <c r="M140" i="1"/>
  <c r="N147" i="1" s="1"/>
  <c r="L5" i="1"/>
  <c r="L140" i="1"/>
  <c r="L136" i="1"/>
  <c r="L143" i="1" s="1"/>
  <c r="L142" i="1" s="1"/>
  <c r="M139" i="1"/>
  <c r="O111" i="1"/>
  <c r="K149" i="1"/>
  <c r="M137" i="1"/>
  <c r="M144" i="1"/>
  <c r="N137" i="1"/>
  <c r="M30" i="1"/>
  <c r="N140" i="1"/>
  <c r="N139" i="1"/>
  <c r="J157" i="23" l="1"/>
  <c r="K158" i="23" a="1"/>
  <c r="K158" i="23" s="1"/>
  <c r="K157" i="23" s="1"/>
  <c r="K165" i="23" s="1"/>
  <c r="K166" i="23" s="1"/>
  <c r="Q119" i="1"/>
  <c r="C136" i="7"/>
  <c r="C137" i="7" s="1"/>
  <c r="K61" i="1"/>
  <c r="L121" i="1"/>
  <c r="D147" i="7" s="1"/>
  <c r="M101" i="1"/>
  <c r="M108" i="1" s="1"/>
  <c r="N115" i="1" s="1"/>
  <c r="N114" i="1" s="1"/>
  <c r="D134" i="7"/>
  <c r="D145" i="7" s="1"/>
  <c r="O13" i="2"/>
  <c r="M13" i="1"/>
  <c r="E135" i="7" s="1"/>
  <c r="E146" i="7" s="1"/>
  <c r="M115" i="1"/>
  <c r="M114" i="1" s="1"/>
  <c r="L107" i="1"/>
  <c r="N8" i="1"/>
  <c r="N39" i="1"/>
  <c r="N46" i="1" s="1"/>
  <c r="M37" i="1"/>
  <c r="N24" i="1"/>
  <c r="Q110" i="1"/>
  <c r="R117" i="1" s="1"/>
  <c r="Q112" i="1"/>
  <c r="R119" i="1" s="1"/>
  <c r="Q111" i="1"/>
  <c r="R118" i="1" s="1"/>
  <c r="C148" i="7"/>
  <c r="O146" i="1"/>
  <c r="O144" i="1"/>
  <c r="K191" i="1"/>
  <c r="S219" i="1"/>
  <c r="R223" i="1"/>
  <c r="R86" i="1" s="1"/>
  <c r="L60" i="1"/>
  <c r="L135" i="1"/>
  <c r="M5" i="1"/>
  <c r="O147" i="1"/>
  <c r="M147" i="1"/>
  <c r="M122" i="1"/>
  <c r="N146" i="1"/>
  <c r="P118" i="1"/>
  <c r="N144" i="1"/>
  <c r="L149" i="1"/>
  <c r="M136" i="1"/>
  <c r="L151" i="1"/>
  <c r="K157" i="1" a="1"/>
  <c r="K157" i="1" s="1"/>
  <c r="L158" i="1"/>
  <c r="M158" i="1"/>
  <c r="N30" i="1"/>
  <c r="K176" i="23" l="1"/>
  <c r="K167" i="23"/>
  <c r="L158" i="23" a="1"/>
  <c r="L158" i="23" s="1"/>
  <c r="L157" i="23" s="1"/>
  <c r="L165" i="23" s="1"/>
  <c r="L166" i="23" s="1"/>
  <c r="D136" i="7"/>
  <c r="D137" i="7" s="1"/>
  <c r="L61" i="1"/>
  <c r="J165" i="23"/>
  <c r="J166" i="23" s="1"/>
  <c r="N102" i="1"/>
  <c r="M94" i="1"/>
  <c r="M121" i="1" s="1"/>
  <c r="E147" i="7" s="1"/>
  <c r="E134" i="7"/>
  <c r="E145" i="7" s="1"/>
  <c r="P13" i="2"/>
  <c r="N158" i="1"/>
  <c r="M107" i="1"/>
  <c r="N38" i="1"/>
  <c r="N45" i="1" s="1"/>
  <c r="O25" i="1"/>
  <c r="N109" i="1"/>
  <c r="O116" i="1" s="1"/>
  <c r="N7" i="1"/>
  <c r="N23" i="1"/>
  <c r="R110" i="1"/>
  <c r="S117" i="1" s="1"/>
  <c r="R112" i="1"/>
  <c r="R111" i="1"/>
  <c r="S118" i="1" s="1"/>
  <c r="D148" i="7"/>
  <c r="L157" i="1" a="1"/>
  <c r="L157" i="1" s="1"/>
  <c r="L156" i="1" s="1"/>
  <c r="T219" i="1"/>
  <c r="S223" i="1"/>
  <c r="S86" i="1" s="1"/>
  <c r="K163" i="1"/>
  <c r="K85" i="1"/>
  <c r="K192" i="1"/>
  <c r="O140" i="1"/>
  <c r="N5" i="1"/>
  <c r="M60" i="1"/>
  <c r="O145" i="1"/>
  <c r="N145" i="1"/>
  <c r="O137" i="1"/>
  <c r="O136" i="1"/>
  <c r="M135" i="1"/>
  <c r="M143" i="1"/>
  <c r="O154" i="1"/>
  <c r="M152" i="1"/>
  <c r="N153" i="1"/>
  <c r="K158" i="1"/>
  <c r="N136" i="1"/>
  <c r="N122" i="1"/>
  <c r="O30" i="1"/>
  <c r="Q139" i="1"/>
  <c r="P154" i="1"/>
  <c r="O153" i="1"/>
  <c r="M158" i="23" l="1" a="1"/>
  <c r="M158" i="23" s="1"/>
  <c r="S119" i="1"/>
  <c r="E136" i="7"/>
  <c r="E137" i="7" s="1"/>
  <c r="M61" i="1"/>
  <c r="J176" i="23"/>
  <c r="J179" i="23" s="1"/>
  <c r="K178" i="23" s="1"/>
  <c r="K179" i="23" s="1"/>
  <c r="L178" i="23" s="1"/>
  <c r="J167" i="23"/>
  <c r="L176" i="23"/>
  <c r="L167" i="23"/>
  <c r="N101" i="1"/>
  <c r="N94" i="1" s="1"/>
  <c r="N121" i="1" s="1"/>
  <c r="F147" i="7" s="1"/>
  <c r="F134" i="7"/>
  <c r="F145" i="7" s="1"/>
  <c r="Q13" i="2"/>
  <c r="O8" i="1"/>
  <c r="O39" i="1"/>
  <c r="O46" i="1" s="1"/>
  <c r="N13" i="1"/>
  <c r="S112" i="1"/>
  <c r="T119" i="1" s="1"/>
  <c r="S110" i="1"/>
  <c r="T117" i="1" s="1"/>
  <c r="S111" i="1"/>
  <c r="T118" i="1" s="1"/>
  <c r="Q154" i="1"/>
  <c r="Q140" i="1"/>
  <c r="R147" i="1" s="1"/>
  <c r="O143" i="1"/>
  <c r="O142" i="1" s="1"/>
  <c r="K169" i="1"/>
  <c r="K198" i="1"/>
  <c r="K193" i="1"/>
  <c r="U219" i="1"/>
  <c r="T223" i="1"/>
  <c r="T86" i="1" s="1"/>
  <c r="P147" i="1"/>
  <c r="P140" i="1"/>
  <c r="O5" i="1"/>
  <c r="P139" i="1"/>
  <c r="O139" i="1"/>
  <c r="O135" i="1" s="1"/>
  <c r="P145" i="1"/>
  <c r="P144" i="1"/>
  <c r="P137" i="1"/>
  <c r="Q144" i="1" s="1"/>
  <c r="J157" i="1"/>
  <c r="M151" i="1"/>
  <c r="O122" i="1"/>
  <c r="K156" i="1"/>
  <c r="K164" i="1" s="1"/>
  <c r="N143" i="1"/>
  <c r="N142" i="1" s="1"/>
  <c r="N149" i="1" s="1"/>
  <c r="N135" i="1"/>
  <c r="M142" i="1"/>
  <c r="P153" i="1"/>
  <c r="P30" i="1"/>
  <c r="N158" i="23" l="1" a="1"/>
  <c r="N158" i="23" s="1"/>
  <c r="L179" i="23"/>
  <c r="M178" i="23" s="1"/>
  <c r="M157" i="23"/>
  <c r="H20" i="25"/>
  <c r="I20" i="25" s="1"/>
  <c r="O102" i="1"/>
  <c r="O109" i="1" s="1"/>
  <c r="P116" i="1" s="1"/>
  <c r="H9" i="25"/>
  <c r="I9" i="25" s="1"/>
  <c r="G134" i="7"/>
  <c r="G145" i="7" s="1"/>
  <c r="R13" i="2"/>
  <c r="O158" i="23" s="1" a="1"/>
  <c r="O158" i="23" s="1"/>
  <c r="O157" i="23" s="1"/>
  <c r="O165" i="23" s="1"/>
  <c r="O166" i="23" s="1"/>
  <c r="P25" i="1"/>
  <c r="N108" i="1"/>
  <c r="N50" i="1"/>
  <c r="N58" i="1" s="1"/>
  <c r="F135" i="7"/>
  <c r="F146" i="7" s="1"/>
  <c r="O158" i="1"/>
  <c r="T112" i="1"/>
  <c r="U119" i="1" s="1"/>
  <c r="V119" i="1" s="1"/>
  <c r="W119" i="1" s="1"/>
  <c r="T110" i="1"/>
  <c r="U117" i="1" s="1"/>
  <c r="V117" i="1" s="1"/>
  <c r="W117" i="1" s="1"/>
  <c r="T111" i="1"/>
  <c r="U118" i="1" s="1"/>
  <c r="V118" i="1" s="1"/>
  <c r="W118" i="1" s="1"/>
  <c r="F148" i="7"/>
  <c r="J156" i="1"/>
  <c r="J164" i="1" s="1"/>
  <c r="Q146" i="1"/>
  <c r="R146" i="1"/>
  <c r="N157" i="1" a="1"/>
  <c r="N157" i="1" s="1"/>
  <c r="U223" i="1"/>
  <c r="U86" i="1" s="1"/>
  <c r="V219" i="1"/>
  <c r="V223" i="1" s="1"/>
  <c r="L189" i="1"/>
  <c r="K165" i="1"/>
  <c r="O149" i="1"/>
  <c r="P122" i="1"/>
  <c r="Q147" i="1"/>
  <c r="P5" i="1"/>
  <c r="P146" i="1"/>
  <c r="Q145" i="1"/>
  <c r="S145" i="1"/>
  <c r="R145" i="1"/>
  <c r="Q137" i="1"/>
  <c r="R144" i="1" s="1"/>
  <c r="P136" i="1"/>
  <c r="M149" i="1"/>
  <c r="Q30" i="1"/>
  <c r="R140" i="1"/>
  <c r="Q153" i="1"/>
  <c r="R154" i="1"/>
  <c r="N157" i="23" l="1"/>
  <c r="N165" i="23" s="1"/>
  <c r="N166" i="23" s="1"/>
  <c r="N176" i="23" s="1"/>
  <c r="M165" i="23"/>
  <c r="M166" i="23" s="1"/>
  <c r="N89" i="23"/>
  <c r="N91" i="23" s="1"/>
  <c r="H134" i="7"/>
  <c r="H145" i="7" s="1"/>
  <c r="S13" i="2"/>
  <c r="N152" i="1"/>
  <c r="N151" i="1" s="1"/>
  <c r="N156" i="1"/>
  <c r="P8" i="1"/>
  <c r="P39" i="1"/>
  <c r="P46" i="1" s="1"/>
  <c r="O24" i="1"/>
  <c r="N37" i="1"/>
  <c r="O115" i="1"/>
  <c r="O114" i="1" s="1"/>
  <c r="N107" i="1"/>
  <c r="V86" i="1"/>
  <c r="Y86" i="1" s="1"/>
  <c r="U110" i="1"/>
  <c r="V110" i="1" s="1"/>
  <c r="W110" i="1" s="1"/>
  <c r="V105" i="1"/>
  <c r="W105" i="1" s="1"/>
  <c r="U111" i="1"/>
  <c r="V111" i="1" s="1"/>
  <c r="W111" i="1" s="1"/>
  <c r="E148" i="7"/>
  <c r="C149" i="7"/>
  <c r="G148" i="7"/>
  <c r="K197" i="1"/>
  <c r="R153" i="1"/>
  <c r="O157" i="1" a="1"/>
  <c r="O157" i="1" s="1"/>
  <c r="L191" i="1"/>
  <c r="J165" i="1"/>
  <c r="Q122" i="1"/>
  <c r="Q5" i="1"/>
  <c r="S147" i="1"/>
  <c r="R139" i="1"/>
  <c r="S154" i="1"/>
  <c r="R137" i="1"/>
  <c r="S144" i="1" s="1"/>
  <c r="R136" i="1"/>
  <c r="P135" i="1"/>
  <c r="P143" i="1"/>
  <c r="Q136" i="1"/>
  <c r="R30" i="1"/>
  <c r="V10" i="1"/>
  <c r="B129" i="7" s="1"/>
  <c r="V11" i="1"/>
  <c r="V9" i="1"/>
  <c r="P158" i="23" l="1" a="1"/>
  <c r="P158" i="23" s="1"/>
  <c r="P157" i="23" s="1"/>
  <c r="P165" i="23" s="1"/>
  <c r="P166" i="23" s="1"/>
  <c r="M176" i="23"/>
  <c r="M179" i="23" s="1"/>
  <c r="N178" i="23" s="1"/>
  <c r="N179" i="23" s="1"/>
  <c r="O178" i="23" s="1"/>
  <c r="M167" i="23"/>
  <c r="J197" i="1"/>
  <c r="J199" i="1" s="1"/>
  <c r="J201" i="1" s="1"/>
  <c r="P102" i="1"/>
  <c r="P109" i="1" s="1"/>
  <c r="Q116" i="1" s="1"/>
  <c r="N92" i="23"/>
  <c r="N167" i="23"/>
  <c r="I134" i="7"/>
  <c r="I145" i="7" s="1"/>
  <c r="T13" i="2"/>
  <c r="Q157" i="1" s="1" a="1"/>
  <c r="Q157" i="1" s="1"/>
  <c r="N60" i="1"/>
  <c r="N61" i="1" s="1"/>
  <c r="O38" i="1"/>
  <c r="O45" i="1" s="1"/>
  <c r="Q25" i="1"/>
  <c r="O7" i="1"/>
  <c r="O23" i="1"/>
  <c r="V104" i="1"/>
  <c r="W104" i="1" s="1"/>
  <c r="W86" i="1"/>
  <c r="V103" i="1"/>
  <c r="W103" i="1" s="1"/>
  <c r="U112" i="1"/>
  <c r="V112" i="1" s="1"/>
  <c r="W112" i="1" s="1"/>
  <c r="B130" i="7"/>
  <c r="B128" i="7"/>
  <c r="B149" i="7"/>
  <c r="S153" i="1"/>
  <c r="R143" i="1"/>
  <c r="R142" i="1" s="1"/>
  <c r="L163" i="1"/>
  <c r="L85" i="1"/>
  <c r="L192" i="1"/>
  <c r="V40" i="1"/>
  <c r="T140" i="1"/>
  <c r="U147" i="1" s="1"/>
  <c r="R122" i="1"/>
  <c r="R5" i="1"/>
  <c r="S140" i="1"/>
  <c r="T147" i="1" s="1"/>
  <c r="S139" i="1"/>
  <c r="T146" i="1" s="1"/>
  <c r="S146" i="1"/>
  <c r="S137" i="1"/>
  <c r="T144" i="1" s="1"/>
  <c r="Q135" i="1"/>
  <c r="Q143" i="1"/>
  <c r="Q142" i="1" s="1"/>
  <c r="Q149" i="1" s="1"/>
  <c r="R135" i="1"/>
  <c r="S136" i="1"/>
  <c r="P142" i="1"/>
  <c r="S30" i="1"/>
  <c r="T154" i="1"/>
  <c r="V47" i="1"/>
  <c r="C128" i="7" s="1"/>
  <c r="V42" i="1"/>
  <c r="V49" i="1"/>
  <c r="C130" i="7" s="1"/>
  <c r="V41" i="1"/>
  <c r="V48" i="1"/>
  <c r="C129" i="7" s="1"/>
  <c r="E20" i="25" l="1"/>
  <c r="F20" i="25" s="1"/>
  <c r="O101" i="1"/>
  <c r="O108" i="1" s="1"/>
  <c r="E9" i="25"/>
  <c r="J134" i="7"/>
  <c r="J145" i="7" s="1"/>
  <c r="U13" i="2"/>
  <c r="R157" i="1" s="1" a="1"/>
  <c r="R157" i="1" s="1"/>
  <c r="F136" i="7"/>
  <c r="F137" i="7" s="1"/>
  <c r="Q8" i="1"/>
  <c r="Q39" i="1"/>
  <c r="Q46" i="1" s="1"/>
  <c r="O13" i="1"/>
  <c r="J202" i="1"/>
  <c r="I148" i="7"/>
  <c r="J172" i="1"/>
  <c r="L164" i="1"/>
  <c r="R149" i="1"/>
  <c r="L169" i="1"/>
  <c r="L198" i="1"/>
  <c r="L193" i="1"/>
  <c r="S122" i="1"/>
  <c r="S5" i="1"/>
  <c r="V147" i="1"/>
  <c r="W147" i="1" s="1"/>
  <c r="U154" i="1"/>
  <c r="V154" i="1" s="1"/>
  <c r="W154" i="1" s="1"/>
  <c r="T153" i="1"/>
  <c r="T139" i="1"/>
  <c r="U145" i="1"/>
  <c r="T145" i="1"/>
  <c r="T137" i="1"/>
  <c r="U144" i="1" s="1"/>
  <c r="V144" i="1" s="1"/>
  <c r="W144" i="1" s="1"/>
  <c r="P149" i="1"/>
  <c r="S135" i="1"/>
  <c r="S143" i="1"/>
  <c r="S142" i="1" s="1"/>
  <c r="T30" i="1"/>
  <c r="Q102" i="1" l="1"/>
  <c r="Q109" i="1" s="1"/>
  <c r="R116" i="1" s="1"/>
  <c r="F9" i="25"/>
  <c r="F6" i="28" s="1"/>
  <c r="E6" i="28"/>
  <c r="V85" i="23"/>
  <c r="K134" i="7"/>
  <c r="K145" i="7" s="1"/>
  <c r="V13" i="2"/>
  <c r="R25" i="1"/>
  <c r="O94" i="1"/>
  <c r="O121" i="1" s="1"/>
  <c r="G147" i="7" s="1"/>
  <c r="G135" i="7"/>
  <c r="G146" i="7" s="1"/>
  <c r="P158" i="1"/>
  <c r="O50" i="1"/>
  <c r="O58" i="1" s="1"/>
  <c r="P115" i="1"/>
  <c r="O107" i="1"/>
  <c r="J173" i="1"/>
  <c r="J200" i="1"/>
  <c r="H148" i="7"/>
  <c r="J148" i="7"/>
  <c r="L165" i="1"/>
  <c r="M189" i="1"/>
  <c r="S149" i="1"/>
  <c r="T122" i="1"/>
  <c r="V35" i="1"/>
  <c r="T5" i="1"/>
  <c r="V145" i="1"/>
  <c r="W145" i="1" s="1"/>
  <c r="V34" i="1"/>
  <c r="U146" i="1"/>
  <c r="V146" i="1" s="1"/>
  <c r="W146" i="1" s="1"/>
  <c r="V33" i="1"/>
  <c r="U153" i="1"/>
  <c r="V153" i="1" s="1"/>
  <c r="W153" i="1" s="1"/>
  <c r="V32" i="1"/>
  <c r="V130" i="1"/>
  <c r="W130" i="1" s="1"/>
  <c r="U136" i="1"/>
  <c r="T136" i="1"/>
  <c r="U30" i="1"/>
  <c r="V31" i="1"/>
  <c r="V171" i="23" l="1"/>
  <c r="Y85" i="23"/>
  <c r="W85" i="23"/>
  <c r="V164" i="23"/>
  <c r="L134" i="7"/>
  <c r="L145" i="7" s="1"/>
  <c r="W13" i="2"/>
  <c r="J171" i="1"/>
  <c r="J174" i="1" s="1"/>
  <c r="J177" i="1" s="1"/>
  <c r="J84" i="1"/>
  <c r="O152" i="1"/>
  <c r="O151" i="1" s="1"/>
  <c r="R8" i="1"/>
  <c r="R39" i="1"/>
  <c r="R46" i="1" s="1"/>
  <c r="P114" i="1"/>
  <c r="P24" i="1"/>
  <c r="O37" i="1"/>
  <c r="D149" i="7"/>
  <c r="K148" i="7"/>
  <c r="L197" i="1"/>
  <c r="V56" i="1"/>
  <c r="W56" i="1" s="1"/>
  <c r="M191" i="1"/>
  <c r="U5" i="1"/>
  <c r="T157" i="1" a="1"/>
  <c r="T157" i="1" s="1"/>
  <c r="U140" i="1"/>
  <c r="V140" i="1" s="1"/>
  <c r="W140" i="1" s="1"/>
  <c r="V133" i="1"/>
  <c r="W133" i="1" s="1"/>
  <c r="W49" i="1"/>
  <c r="U137" i="1"/>
  <c r="V137" i="1" s="1"/>
  <c r="W137" i="1" s="1"/>
  <c r="U139" i="1"/>
  <c r="V139" i="1" s="1"/>
  <c r="W139" i="1" s="1"/>
  <c r="V132" i="1"/>
  <c r="W132" i="1" s="1"/>
  <c r="W48" i="1"/>
  <c r="V138" i="1"/>
  <c r="W138" i="1" s="1"/>
  <c r="V131" i="1"/>
  <c r="W131" i="1" s="1"/>
  <c r="V136" i="1"/>
  <c r="U143" i="1"/>
  <c r="V30" i="1"/>
  <c r="T135" i="1"/>
  <c r="T143" i="1"/>
  <c r="T142" i="1" s="1"/>
  <c r="T149" i="1" s="1"/>
  <c r="U122" i="1"/>
  <c r="V122" i="1" s="1"/>
  <c r="V129" i="1"/>
  <c r="W129" i="1" s="1"/>
  <c r="V55" i="1"/>
  <c r="W55" i="1" s="1"/>
  <c r="H21" i="25" l="1"/>
  <c r="I21" i="25" s="1"/>
  <c r="R102" i="1"/>
  <c r="H10" i="25"/>
  <c r="I10" i="25" s="1"/>
  <c r="W164" i="23"/>
  <c r="O176" i="23"/>
  <c r="O179" i="23" s="1"/>
  <c r="O89" i="23"/>
  <c r="O91" i="23" s="1"/>
  <c r="W171" i="23"/>
  <c r="M134" i="7"/>
  <c r="M145" i="7" s="1"/>
  <c r="X13" i="2"/>
  <c r="O60" i="1"/>
  <c r="O61" i="1" s="1"/>
  <c r="P38" i="1"/>
  <c r="P45" i="1" s="1"/>
  <c r="P7" i="1"/>
  <c r="P23" i="1"/>
  <c r="M157" i="1" a="1"/>
  <c r="M157" i="1" s="1"/>
  <c r="M156" i="1" s="1"/>
  <c r="O156" i="1"/>
  <c r="K176" i="1"/>
  <c r="K196" i="1" s="1"/>
  <c r="J178" i="1"/>
  <c r="L148" i="7"/>
  <c r="J88" i="1"/>
  <c r="J90" i="1" s="1"/>
  <c r="M163" i="1"/>
  <c r="M192" i="1"/>
  <c r="M85" i="1"/>
  <c r="U135" i="1"/>
  <c r="W122" i="1"/>
  <c r="U142" i="1"/>
  <c r="U149" i="1" s="1"/>
  <c r="V143" i="1"/>
  <c r="V135" i="1"/>
  <c r="W136" i="1"/>
  <c r="T158" i="23" l="1" a="1"/>
  <c r="T158" i="23" s="1"/>
  <c r="T157" i="23" s="1"/>
  <c r="T165" i="23" s="1"/>
  <c r="T166" i="23" s="1"/>
  <c r="Q158" i="23" a="1"/>
  <c r="Q158" i="23" s="1"/>
  <c r="Q157" i="23" s="1"/>
  <c r="R158" i="23" a="1"/>
  <c r="R158" i="23" s="1"/>
  <c r="R157" i="23" s="1"/>
  <c r="R165" i="23" s="1"/>
  <c r="R166" i="23" s="1"/>
  <c r="U158" i="23" a="1"/>
  <c r="U158" i="23" s="1"/>
  <c r="S158" i="23" a="1"/>
  <c r="S158" i="23" s="1"/>
  <c r="S157" i="23" s="1"/>
  <c r="S165" i="23" s="1"/>
  <c r="S166" i="23" s="1"/>
  <c r="J91" i="1"/>
  <c r="J166" i="1"/>
  <c r="P101" i="1"/>
  <c r="P108" i="1" s="1"/>
  <c r="O92" i="23"/>
  <c r="O167" i="23"/>
  <c r="P178" i="23"/>
  <c r="G136" i="7"/>
  <c r="G137" i="7" s="1"/>
  <c r="R109" i="1"/>
  <c r="S116" i="1" s="1"/>
  <c r="S25" i="1"/>
  <c r="P13" i="1"/>
  <c r="K199" i="1"/>
  <c r="K201" i="1" s="1"/>
  <c r="M148" i="7"/>
  <c r="B140" i="7"/>
  <c r="B141" i="7" s="1"/>
  <c r="U157" i="1" a="1"/>
  <c r="U157" i="1" s="1"/>
  <c r="M164" i="1"/>
  <c r="M198" i="1"/>
  <c r="M169" i="1"/>
  <c r="M193" i="1"/>
  <c r="W135" i="1"/>
  <c r="W143" i="1"/>
  <c r="V142" i="1"/>
  <c r="Q165" i="23" l="1"/>
  <c r="Q166" i="23" s="1"/>
  <c r="U157" i="23"/>
  <c r="U165" i="23" s="1"/>
  <c r="U166" i="23" s="1"/>
  <c r="V158" i="23"/>
  <c r="S8" i="1"/>
  <c r="S39" i="1"/>
  <c r="S46" i="1" s="1"/>
  <c r="H135" i="7"/>
  <c r="H146" i="7" s="1"/>
  <c r="Q158" i="1"/>
  <c r="P50" i="1"/>
  <c r="P58" i="1" s="1"/>
  <c r="P94" i="1"/>
  <c r="P121" i="1" s="1"/>
  <c r="H147" i="7" s="1"/>
  <c r="P107" i="1"/>
  <c r="Q115" i="1"/>
  <c r="K172" i="1"/>
  <c r="K202" i="1"/>
  <c r="M165" i="1"/>
  <c r="N189" i="1"/>
  <c r="W142" i="1"/>
  <c r="V149" i="1"/>
  <c r="W149" i="1" s="1"/>
  <c r="V157" i="23" l="1"/>
  <c r="W158" i="23"/>
  <c r="S102" i="1"/>
  <c r="Q114" i="1"/>
  <c r="Q24" i="1"/>
  <c r="P37" i="1"/>
  <c r="K200" i="1"/>
  <c r="K173" i="1"/>
  <c r="E149" i="7"/>
  <c r="M197" i="1"/>
  <c r="N191" i="1"/>
  <c r="V165" i="23" l="1"/>
  <c r="V166" i="23" s="1"/>
  <c r="W157" i="23"/>
  <c r="K171" i="1"/>
  <c r="K174" i="1" s="1"/>
  <c r="K177" i="1" s="1"/>
  <c r="K84" i="1"/>
  <c r="K88" i="1" s="1"/>
  <c r="K90" i="1" s="1"/>
  <c r="P152" i="1"/>
  <c r="P151" i="1" s="1"/>
  <c r="P60" i="1"/>
  <c r="P61" i="1" s="1"/>
  <c r="Q38" i="1"/>
  <c r="Q45" i="1" s="1"/>
  <c r="S109" i="1"/>
  <c r="T116" i="1" s="1"/>
  <c r="T25" i="1"/>
  <c r="Q7" i="1"/>
  <c r="Q23" i="1"/>
  <c r="N163" i="1"/>
  <c r="N192" i="1"/>
  <c r="N85" i="1"/>
  <c r="Z4" i="23" l="1"/>
  <c r="Z10" i="23"/>
  <c r="W166" i="23"/>
  <c r="K91" i="1"/>
  <c r="K166" i="1"/>
  <c r="Q101" i="1"/>
  <c r="P176" i="23"/>
  <c r="P179" i="23" s="1"/>
  <c r="P89" i="23"/>
  <c r="P91" i="23" s="1"/>
  <c r="H136" i="7"/>
  <c r="H137" i="7" s="1"/>
  <c r="T8" i="1"/>
  <c r="T39" i="1"/>
  <c r="T46" i="1" s="1"/>
  <c r="Q13" i="1"/>
  <c r="K178" i="1"/>
  <c r="L176" i="1"/>
  <c r="L196" i="1" s="1"/>
  <c r="L199" i="1" s="1"/>
  <c r="L201" i="1" s="1"/>
  <c r="L202" i="1" s="1"/>
  <c r="C140" i="7"/>
  <c r="C141" i="7" s="1"/>
  <c r="N164" i="1"/>
  <c r="N198" i="1"/>
  <c r="N169" i="1"/>
  <c r="N193" i="1"/>
  <c r="T102" i="1" l="1"/>
  <c r="P92" i="23"/>
  <c r="P167" i="23"/>
  <c r="Q178" i="23"/>
  <c r="Q50" i="1"/>
  <c r="Q58" i="1" s="1"/>
  <c r="I135" i="7"/>
  <c r="I146" i="7" s="1"/>
  <c r="R158" i="1"/>
  <c r="Q108" i="1"/>
  <c r="Q94" i="1"/>
  <c r="Q121" i="1" s="1"/>
  <c r="I147" i="7" s="1"/>
  <c r="L200" i="1"/>
  <c r="L173" i="1"/>
  <c r="L172" i="1"/>
  <c r="N165" i="1"/>
  <c r="O189" i="1"/>
  <c r="L171" i="1" l="1"/>
  <c r="L174" i="1" s="1"/>
  <c r="L177" i="1" s="1"/>
  <c r="L84" i="1"/>
  <c r="L88" i="1" s="1"/>
  <c r="L90" i="1" s="1"/>
  <c r="T109" i="1"/>
  <c r="U116" i="1" s="1"/>
  <c r="V116" i="1" s="1"/>
  <c r="W116" i="1" s="1"/>
  <c r="U25" i="1"/>
  <c r="R115" i="1"/>
  <c r="Q107" i="1"/>
  <c r="R24" i="1"/>
  <c r="Q37" i="1"/>
  <c r="F149" i="7"/>
  <c r="N197" i="1"/>
  <c r="O191" i="1"/>
  <c r="L91" i="1" l="1"/>
  <c r="L166" i="1"/>
  <c r="Q152" i="1"/>
  <c r="Q151" i="1" s="1"/>
  <c r="Q60" i="1"/>
  <c r="R38" i="1"/>
  <c r="R45" i="1" s="1"/>
  <c r="U8" i="1"/>
  <c r="U39" i="1"/>
  <c r="V39" i="1" s="1"/>
  <c r="R7" i="1"/>
  <c r="R23" i="1"/>
  <c r="R114" i="1"/>
  <c r="Q156" i="1"/>
  <c r="M176" i="1"/>
  <c r="M196" i="1" s="1"/>
  <c r="M199" i="1" s="1"/>
  <c r="M201" i="1" s="1"/>
  <c r="M172" i="1" s="1"/>
  <c r="L178" i="1"/>
  <c r="D140" i="7"/>
  <c r="D141" i="7" s="1"/>
  <c r="O163" i="1"/>
  <c r="O164" i="1" s="1"/>
  <c r="O85" i="1"/>
  <c r="O192" i="1"/>
  <c r="I136" i="7" l="1"/>
  <c r="I137" i="7" s="1"/>
  <c r="Q61" i="1"/>
  <c r="U102" i="1"/>
  <c r="V102" i="1" s="1"/>
  <c r="W102" i="1" s="1"/>
  <c r="H11" i="25"/>
  <c r="I11" i="25" s="1"/>
  <c r="R101" i="1"/>
  <c r="E10" i="25"/>
  <c r="E21" i="25"/>
  <c r="F21" i="25" s="1"/>
  <c r="U46" i="1"/>
  <c r="V8" i="1"/>
  <c r="R13" i="1"/>
  <c r="M202" i="1"/>
  <c r="O198" i="1"/>
  <c r="O169" i="1"/>
  <c r="O193" i="1"/>
  <c r="O165" i="1"/>
  <c r="V46" i="1" l="1"/>
  <c r="C127" i="7" s="1"/>
  <c r="H22" i="25"/>
  <c r="I22" i="25" s="1"/>
  <c r="E7" i="28"/>
  <c r="F10" i="25"/>
  <c r="F7" i="28" s="1"/>
  <c r="Q176" i="23"/>
  <c r="Q179" i="23" s="1"/>
  <c r="Q89" i="23"/>
  <c r="Q91" i="23" s="1"/>
  <c r="B127" i="7"/>
  <c r="C75" i="18"/>
  <c r="F6" i="18" s="1"/>
  <c r="U109" i="1"/>
  <c r="V109" i="1" s="1"/>
  <c r="W109" i="1" s="1"/>
  <c r="R108" i="1"/>
  <c r="R94" i="1"/>
  <c r="R121" i="1" s="1"/>
  <c r="J147" i="7" s="1"/>
  <c r="J135" i="7"/>
  <c r="J146" i="7" s="1"/>
  <c r="S158" i="1"/>
  <c r="R50" i="1"/>
  <c r="R58" i="1" s="1"/>
  <c r="M200" i="1"/>
  <c r="M173" i="1"/>
  <c r="G149" i="7"/>
  <c r="O197" i="1"/>
  <c r="P189" i="1"/>
  <c r="W46" i="1" l="1"/>
  <c r="Q92" i="23"/>
  <c r="Q167" i="23"/>
  <c r="R178" i="23"/>
  <c r="M171" i="1"/>
  <c r="M174" i="1" s="1"/>
  <c r="M177" i="1" s="1"/>
  <c r="M84" i="1"/>
  <c r="R60" i="1"/>
  <c r="R61" i="1" s="1"/>
  <c r="S24" i="1"/>
  <c r="R37" i="1"/>
  <c r="S115" i="1"/>
  <c r="R107" i="1"/>
  <c r="P191" i="1"/>
  <c r="R152" i="1" l="1"/>
  <c r="R151" i="1" s="1"/>
  <c r="S38" i="1"/>
  <c r="S45" i="1" s="1"/>
  <c r="R156" i="1"/>
  <c r="J136" i="7"/>
  <c r="J137" i="7" s="1"/>
  <c r="S114" i="1"/>
  <c r="S7" i="1"/>
  <c r="S23" i="1"/>
  <c r="P157" i="1" a="1"/>
  <c r="P157" i="1" s="1"/>
  <c r="M178" i="1"/>
  <c r="N176" i="1"/>
  <c r="N196" i="1" s="1"/>
  <c r="N199" i="1" s="1"/>
  <c r="N201" i="1" s="1"/>
  <c r="N172" i="1" s="1"/>
  <c r="M88" i="1"/>
  <c r="M90" i="1" s="1"/>
  <c r="P163" i="1"/>
  <c r="P85" i="1"/>
  <c r="P192" i="1"/>
  <c r="M91" i="1" l="1"/>
  <c r="M166" i="1"/>
  <c r="S101" i="1"/>
  <c r="P156" i="1"/>
  <c r="S13" i="1"/>
  <c r="S108" i="1"/>
  <c r="N202" i="1"/>
  <c r="E140" i="7"/>
  <c r="E141" i="7" s="1"/>
  <c r="P198" i="1"/>
  <c r="P169" i="1"/>
  <c r="P193" i="1"/>
  <c r="P164" i="1" l="1"/>
  <c r="P165" i="1" s="1"/>
  <c r="T115" i="1"/>
  <c r="S107" i="1"/>
  <c r="S94" i="1"/>
  <c r="S121" i="1" s="1"/>
  <c r="K147" i="7" s="1"/>
  <c r="S50" i="1"/>
  <c r="S58" i="1" s="1"/>
  <c r="K135" i="7"/>
  <c r="K146" i="7" s="1"/>
  <c r="T158" i="1"/>
  <c r="N173" i="1"/>
  <c r="N200" i="1"/>
  <c r="N84" i="1" s="1"/>
  <c r="Q189" i="1"/>
  <c r="P197" i="1" l="1"/>
  <c r="R176" i="23"/>
  <c r="R179" i="23" s="1"/>
  <c r="R89" i="23"/>
  <c r="R91" i="23" s="1"/>
  <c r="S60" i="1"/>
  <c r="S61" i="1" s="1"/>
  <c r="S152" i="1"/>
  <c r="S151" i="1" s="1"/>
  <c r="H149" i="7"/>
  <c r="T24" i="1"/>
  <c r="S37" i="1"/>
  <c r="T114" i="1"/>
  <c r="N171" i="1"/>
  <c r="N174" i="1" s="1"/>
  <c r="N177" i="1" s="1"/>
  <c r="N88" i="1"/>
  <c r="N90" i="1" s="1"/>
  <c r="Q191" i="1"/>
  <c r="N91" i="1" l="1"/>
  <c r="N166" i="1"/>
  <c r="R92" i="23"/>
  <c r="R167" i="23"/>
  <c r="S178" i="23"/>
  <c r="T38" i="1"/>
  <c r="T45" i="1" s="1"/>
  <c r="T23" i="1"/>
  <c r="T7" i="1"/>
  <c r="K136" i="7"/>
  <c r="K137" i="7" s="1"/>
  <c r="N178" i="1"/>
  <c r="O176" i="1"/>
  <c r="O196" i="1" s="1"/>
  <c r="O199" i="1" s="1"/>
  <c r="O201" i="1" s="1"/>
  <c r="O202" i="1" s="1"/>
  <c r="F140" i="7"/>
  <c r="F141" i="7" s="1"/>
  <c r="Q163" i="1"/>
  <c r="Q164" i="1" s="1"/>
  <c r="Q192" i="1"/>
  <c r="Q85" i="1"/>
  <c r="T101" i="1" l="1"/>
  <c r="T94" i="1" s="1"/>
  <c r="T121" i="1" s="1"/>
  <c r="L147" i="7" s="1"/>
  <c r="T13" i="1"/>
  <c r="O172" i="1"/>
  <c r="Q198" i="1"/>
  <c r="Q169" i="1"/>
  <c r="Q193" i="1"/>
  <c r="Q165" i="1"/>
  <c r="O200" i="1"/>
  <c r="O84" i="1" s="1"/>
  <c r="O173" i="1"/>
  <c r="T108" i="1" l="1"/>
  <c r="T107" i="1" s="1"/>
  <c r="L135" i="7"/>
  <c r="L146" i="7" s="1"/>
  <c r="U158" i="1"/>
  <c r="T50" i="1"/>
  <c r="T58" i="1" s="1"/>
  <c r="I149" i="7"/>
  <c r="Q197" i="1"/>
  <c r="O171" i="1"/>
  <c r="R189" i="1"/>
  <c r="U115" i="1" l="1"/>
  <c r="U114" i="1" s="1"/>
  <c r="T60" i="1"/>
  <c r="T61" i="1" s="1"/>
  <c r="T156" i="1"/>
  <c r="V158" i="1"/>
  <c r="W158" i="1" s="1"/>
  <c r="U24" i="1"/>
  <c r="T37" i="1"/>
  <c r="O174" i="1"/>
  <c r="O177" i="1" s="1"/>
  <c r="O88" i="1"/>
  <c r="O90" i="1" s="1"/>
  <c r="R191" i="1"/>
  <c r="O91" i="1" l="1"/>
  <c r="O166" i="1"/>
  <c r="S176" i="23"/>
  <c r="S179" i="23" s="1"/>
  <c r="S89" i="23"/>
  <c r="S91" i="23" s="1"/>
  <c r="V115" i="1"/>
  <c r="V114" i="1" s="1"/>
  <c r="W114" i="1" s="1"/>
  <c r="T152" i="1"/>
  <c r="T151" i="1" s="1"/>
  <c r="U38" i="1"/>
  <c r="U45" i="1" s="1"/>
  <c r="U7" i="1"/>
  <c r="U23" i="1"/>
  <c r="L136" i="7"/>
  <c r="L137" i="7" s="1"/>
  <c r="G140" i="7"/>
  <c r="G141" i="7" s="1"/>
  <c r="P176" i="1"/>
  <c r="P196" i="1" s="1"/>
  <c r="P199" i="1" s="1"/>
  <c r="P201" i="1" s="1"/>
  <c r="P202" i="1" s="1"/>
  <c r="O178" i="1"/>
  <c r="R163" i="1"/>
  <c r="R164" i="1" s="1"/>
  <c r="R85" i="1"/>
  <c r="R192" i="1"/>
  <c r="U101" i="1" l="1"/>
  <c r="E11" i="25"/>
  <c r="E22" i="25"/>
  <c r="F22" i="25" s="1"/>
  <c r="S92" i="23"/>
  <c r="S167" i="23"/>
  <c r="T178" i="23"/>
  <c r="W115" i="1"/>
  <c r="U13" i="1"/>
  <c r="V7" i="1"/>
  <c r="P172" i="1"/>
  <c r="R198" i="1"/>
  <c r="R169" i="1"/>
  <c r="R193" i="1"/>
  <c r="R165" i="1"/>
  <c r="P173" i="1"/>
  <c r="P200" i="1"/>
  <c r="P84" i="1" s="1"/>
  <c r="F11" i="25" l="1"/>
  <c r="F8" i="28" s="1"/>
  <c r="E8" i="28"/>
  <c r="B126" i="7"/>
  <c r="V13" i="1"/>
  <c r="M135" i="7"/>
  <c r="M146" i="7" s="1"/>
  <c r="V65" i="1"/>
  <c r="W65" i="1" s="1"/>
  <c r="U50" i="1"/>
  <c r="U58" i="1" s="1"/>
  <c r="V45" i="1"/>
  <c r="U108" i="1"/>
  <c r="U94" i="1"/>
  <c r="U121" i="1" s="1"/>
  <c r="M147" i="7" s="1"/>
  <c r="V101" i="1"/>
  <c r="J149" i="7"/>
  <c r="R197" i="1"/>
  <c r="P171" i="1"/>
  <c r="S189" i="1"/>
  <c r="Z1" i="1" l="1"/>
  <c r="Z7" i="1"/>
  <c r="V66" i="1"/>
  <c r="W66" i="1" s="1"/>
  <c r="V64" i="1"/>
  <c r="W64" i="1" s="1"/>
  <c r="V160" i="1"/>
  <c r="W160" i="1" s="1"/>
  <c r="V67" i="1"/>
  <c r="W67" i="1" s="1"/>
  <c r="U107" i="1"/>
  <c r="V108" i="1"/>
  <c r="C126" i="7"/>
  <c r="V50" i="1"/>
  <c r="V38" i="1"/>
  <c r="U37" i="1"/>
  <c r="W101" i="1"/>
  <c r="V94" i="1"/>
  <c r="B131" i="7"/>
  <c r="P174" i="1"/>
  <c r="P177" i="1" s="1"/>
  <c r="P88" i="1"/>
  <c r="P90" i="1" s="1"/>
  <c r="S191" i="1"/>
  <c r="P91" i="1" l="1"/>
  <c r="P166" i="1"/>
  <c r="U152" i="1"/>
  <c r="V53" i="1"/>
  <c r="V58" i="1" s="1"/>
  <c r="U60" i="1"/>
  <c r="U61" i="1" s="1"/>
  <c r="W94" i="1"/>
  <c r="V121" i="1"/>
  <c r="W121" i="1" s="1"/>
  <c r="V107" i="1"/>
  <c r="W108" i="1"/>
  <c r="V37" i="1"/>
  <c r="W45" i="1"/>
  <c r="S157" i="1" a="1"/>
  <c r="S157" i="1" s="1"/>
  <c r="C131" i="7"/>
  <c r="V159" i="1"/>
  <c r="W159" i="1" s="1"/>
  <c r="U156" i="1"/>
  <c r="H140" i="7"/>
  <c r="H141" i="7" s="1"/>
  <c r="P178" i="1"/>
  <c r="Q176" i="1"/>
  <c r="Q196" i="1" s="1"/>
  <c r="Q199" i="1" s="1"/>
  <c r="Q201" i="1" s="1"/>
  <c r="Q202" i="1" s="1"/>
  <c r="S163" i="1"/>
  <c r="S192" i="1"/>
  <c r="S85" i="1"/>
  <c r="T176" i="23" l="1"/>
  <c r="T179" i="23" s="1"/>
  <c r="T89" i="23"/>
  <c r="T91" i="23" s="1"/>
  <c r="M136" i="7"/>
  <c r="M137" i="7" s="1"/>
  <c r="D124" i="7"/>
  <c r="D126" i="7" s="1"/>
  <c r="E126" i="7" s="1"/>
  <c r="W53" i="1"/>
  <c r="V152" i="1"/>
  <c r="W152" i="1" s="1"/>
  <c r="U151" i="1"/>
  <c r="V151" i="1" s="1"/>
  <c r="W151" i="1" s="1"/>
  <c r="V60" i="1"/>
  <c r="V61" i="1" s="1"/>
  <c r="W107" i="1"/>
  <c r="S156" i="1"/>
  <c r="V157" i="1"/>
  <c r="V156" i="1" s="1"/>
  <c r="Q172" i="1"/>
  <c r="S198" i="1"/>
  <c r="S169" i="1"/>
  <c r="S193" i="1"/>
  <c r="Q173" i="1"/>
  <c r="Q200" i="1"/>
  <c r="Q84" i="1" s="1"/>
  <c r="T92" i="23" l="1"/>
  <c r="T167" i="23"/>
  <c r="U178" i="23"/>
  <c r="Z2" i="1"/>
  <c r="Z8" i="1"/>
  <c r="D130" i="7"/>
  <c r="E130" i="7" s="1"/>
  <c r="F130" i="7" s="1"/>
  <c r="W156" i="1"/>
  <c r="D129" i="7"/>
  <c r="E129" i="7" s="1"/>
  <c r="F129" i="7" s="1"/>
  <c r="D127" i="7"/>
  <c r="E127" i="7" s="1"/>
  <c r="F127" i="7" s="1"/>
  <c r="H139" i="7"/>
  <c r="M138" i="7"/>
  <c r="K138" i="7"/>
  <c r="K139" i="7"/>
  <c r="C139" i="7"/>
  <c r="J138" i="7"/>
  <c r="D138" i="7"/>
  <c r="H138" i="7"/>
  <c r="B139" i="7"/>
  <c r="G138" i="7"/>
  <c r="E138" i="7"/>
  <c r="F139" i="7"/>
  <c r="G139" i="7"/>
  <c r="L138" i="7"/>
  <c r="B138" i="7"/>
  <c r="D139" i="7"/>
  <c r="C138" i="7"/>
  <c r="I139" i="7"/>
  <c r="L139" i="7"/>
  <c r="J139" i="7"/>
  <c r="I138" i="7"/>
  <c r="M139" i="7"/>
  <c r="E139" i="7"/>
  <c r="F138" i="7"/>
  <c r="D128" i="7"/>
  <c r="E128" i="7" s="1"/>
  <c r="F128" i="7" s="1"/>
  <c r="W157" i="1"/>
  <c r="F126" i="7"/>
  <c r="S164" i="1"/>
  <c r="S165" i="1" s="1"/>
  <c r="Q171" i="1"/>
  <c r="T189" i="1"/>
  <c r="K149" i="7" l="1"/>
  <c r="D131" i="7"/>
  <c r="E131" i="7"/>
  <c r="F131" i="7" s="1"/>
  <c r="S197" i="1"/>
  <c r="H129" i="7"/>
  <c r="G126" i="7"/>
  <c r="H128" i="7"/>
  <c r="G130" i="7"/>
  <c r="G129" i="7"/>
  <c r="H126" i="7"/>
  <c r="G128" i="7"/>
  <c r="G127" i="7"/>
  <c r="H130" i="7"/>
  <c r="H127" i="7"/>
  <c r="Q174" i="1"/>
  <c r="Q177" i="1" s="1"/>
  <c r="T191" i="1"/>
  <c r="V174" i="23" l="1"/>
  <c r="W174" i="23" s="1"/>
  <c r="R176" i="1"/>
  <c r="R196" i="1" s="1"/>
  <c r="R199" i="1" s="1"/>
  <c r="R201" i="1" s="1"/>
  <c r="R172" i="1" s="1"/>
  <c r="Q178" i="1"/>
  <c r="Q88" i="1"/>
  <c r="Q90" i="1" s="1"/>
  <c r="T163" i="1"/>
  <c r="T164" i="1" s="1"/>
  <c r="T85" i="1"/>
  <c r="T192" i="1"/>
  <c r="Q91" i="1" l="1"/>
  <c r="Q166" i="1"/>
  <c r="V175" i="23"/>
  <c r="W175" i="23" s="1"/>
  <c r="R202" i="1"/>
  <c r="I140" i="7"/>
  <c r="I141" i="7" s="1"/>
  <c r="T198" i="1"/>
  <c r="T169" i="1"/>
  <c r="T193" i="1"/>
  <c r="T165" i="1"/>
  <c r="R200" i="1" l="1"/>
  <c r="R173" i="1"/>
  <c r="L149" i="7"/>
  <c r="T197" i="1"/>
  <c r="U189" i="1"/>
  <c r="U89" i="23" l="1"/>
  <c r="U91" i="23" s="1"/>
  <c r="V84" i="23"/>
  <c r="V173" i="23"/>
  <c r="U176" i="23"/>
  <c r="U179" i="23" s="1"/>
  <c r="R171" i="1"/>
  <c r="R174" i="1" s="1"/>
  <c r="R177" i="1" s="1"/>
  <c r="R84" i="1"/>
  <c r="R88" i="1" s="1"/>
  <c r="R90" i="1" s="1"/>
  <c r="U191" i="1"/>
  <c r="R91" i="1" l="1"/>
  <c r="R166" i="1"/>
  <c r="Y84" i="23"/>
  <c r="W84" i="23"/>
  <c r="V89" i="23"/>
  <c r="V179" i="23"/>
  <c r="W173" i="23"/>
  <c r="V176" i="23"/>
  <c r="W176" i="23" s="1"/>
  <c r="U92" i="23"/>
  <c r="U167" i="23"/>
  <c r="J140" i="7"/>
  <c r="J141" i="7" s="1"/>
  <c r="R178" i="1"/>
  <c r="S176" i="1"/>
  <c r="S196" i="1" s="1"/>
  <c r="S199" i="1" s="1"/>
  <c r="S201" i="1" s="1"/>
  <c r="S172" i="1" s="1"/>
  <c r="U163" i="1"/>
  <c r="U164" i="1" s="1"/>
  <c r="U192" i="1"/>
  <c r="U85" i="1"/>
  <c r="V85" i="1" s="1"/>
  <c r="V191" i="1"/>
  <c r="Y85" i="1" l="1"/>
  <c r="W89" i="23"/>
  <c r="V91" i="23"/>
  <c r="S202" i="1"/>
  <c r="S200" i="1" s="1"/>
  <c r="S84" i="1" s="1"/>
  <c r="W85" i="1"/>
  <c r="U169" i="1"/>
  <c r="V169" i="1" s="1"/>
  <c r="U198" i="1"/>
  <c r="V192" i="1"/>
  <c r="V193" i="1" s="1"/>
  <c r="U193" i="1"/>
  <c r="U165" i="1"/>
  <c r="V163" i="1"/>
  <c r="V164" i="1" s="1"/>
  <c r="V92" i="23" l="1"/>
  <c r="Z3" i="23"/>
  <c r="Z9" i="23"/>
  <c r="V167" i="23"/>
  <c r="M149" i="7"/>
  <c r="B152" i="7" s="1"/>
  <c r="U197" i="1"/>
  <c r="S173" i="1"/>
  <c r="S171" i="1"/>
  <c r="V165" i="1"/>
  <c r="Y163" i="1"/>
  <c r="W163" i="1"/>
  <c r="Y169" i="1"/>
  <c r="W169" i="1"/>
  <c r="W193" i="1"/>
  <c r="Z4" i="1" l="1"/>
  <c r="Z10" i="1"/>
  <c r="G151" i="7"/>
  <c r="K152" i="7"/>
  <c r="J151" i="7"/>
  <c r="I152" i="7"/>
  <c r="L151" i="7"/>
  <c r="G152" i="7"/>
  <c r="I151" i="7"/>
  <c r="C151" i="7"/>
  <c r="C152" i="7"/>
  <c r="D152" i="7"/>
  <c r="D151" i="7"/>
  <c r="H152" i="7"/>
  <c r="K151" i="7"/>
  <c r="F151" i="7"/>
  <c r="M151" i="7"/>
  <c r="L152" i="7"/>
  <c r="F152" i="7"/>
  <c r="M152" i="7"/>
  <c r="H151" i="7"/>
  <c r="E151" i="7"/>
  <c r="B151" i="7"/>
  <c r="J152" i="7"/>
  <c r="E152" i="7"/>
  <c r="W165" i="1"/>
  <c r="S174" i="1"/>
  <c r="S177" i="1" s="1"/>
  <c r="T176" i="1" s="1"/>
  <c r="T196" i="1" s="1"/>
  <c r="T199" i="1" s="1"/>
  <c r="T201" i="1" s="1"/>
  <c r="S88" i="1"/>
  <c r="S90" i="1" s="1"/>
  <c r="W197" i="1"/>
  <c r="S91" i="1" l="1"/>
  <c r="S166" i="1"/>
  <c r="K140" i="7"/>
  <c r="K141" i="7" s="1"/>
  <c r="S178" i="1"/>
  <c r="T172" i="1"/>
  <c r="T202" i="1"/>
  <c r="T200" i="1" l="1"/>
  <c r="T84" i="1" s="1"/>
  <c r="T173" i="1"/>
  <c r="T171" i="1" l="1"/>
  <c r="T174" i="1" l="1"/>
  <c r="T177" i="1" s="1"/>
  <c r="U176" i="1" l="1"/>
  <c r="U196" i="1" s="1"/>
  <c r="U199" i="1" s="1"/>
  <c r="T178" i="1"/>
  <c r="T88" i="1"/>
  <c r="T90" i="1" s="1"/>
  <c r="T91" i="1" l="1"/>
  <c r="T166" i="1"/>
  <c r="L140" i="7"/>
  <c r="L141" i="7" s="1"/>
  <c r="U201" i="1"/>
  <c r="U172" i="1" s="1"/>
  <c r="V172" i="1" s="1"/>
  <c r="W172" i="1" s="1"/>
  <c r="U202" i="1" l="1"/>
  <c r="U200" i="1" l="1"/>
  <c r="U173" i="1"/>
  <c r="V173" i="1" s="1"/>
  <c r="W173" i="1" s="1"/>
  <c r="U84" i="1" l="1"/>
  <c r="V84" i="1" s="1"/>
  <c r="W200" i="1" s="1"/>
  <c r="U171" i="1"/>
  <c r="U174" i="1" l="1"/>
  <c r="U177" i="1" s="1"/>
  <c r="U178" i="1" s="1"/>
  <c r="V171" i="1"/>
  <c r="W171" i="1" s="1"/>
  <c r="U88" i="1" l="1"/>
  <c r="U90" i="1" s="1"/>
  <c r="U166" i="1" s="1"/>
  <c r="W84" i="1"/>
  <c r="V88" i="1"/>
  <c r="V177" i="1"/>
  <c r="Y84" i="1"/>
  <c r="V174" i="1"/>
  <c r="W174" i="1" s="1"/>
  <c r="M140" i="7" l="1"/>
  <c r="M141" i="7" s="1"/>
  <c r="B143" i="7" s="1"/>
  <c r="U91" i="1"/>
  <c r="I124" i="7"/>
  <c r="I127" i="7" s="1"/>
  <c r="J127" i="7" s="1"/>
  <c r="W88" i="1"/>
  <c r="V90" i="1"/>
  <c r="V166" i="1" s="1"/>
  <c r="V178" i="1"/>
  <c r="F142" i="7" l="1"/>
  <c r="C142" i="7"/>
  <c r="H142" i="7"/>
  <c r="C143" i="7"/>
  <c r="L143" i="7"/>
  <c r="M142" i="7"/>
  <c r="K143" i="7"/>
  <c r="G142" i="7"/>
  <c r="I143" i="7"/>
  <c r="K142" i="7"/>
  <c r="F143" i="7"/>
  <c r="B142" i="7"/>
  <c r="E142" i="7"/>
  <c r="M143" i="7"/>
  <c r="G143" i="7"/>
  <c r="I142" i="7"/>
  <c r="D142" i="7"/>
  <c r="E143" i="7"/>
  <c r="J143" i="7"/>
  <c r="L142" i="7"/>
  <c r="H143" i="7"/>
  <c r="D143" i="7"/>
  <c r="J142" i="7"/>
  <c r="Z3" i="1"/>
  <c r="V91" i="1"/>
  <c r="Z9" i="1"/>
  <c r="I128" i="7"/>
  <c r="J128" i="7" s="1"/>
  <c r="K128" i="7" s="1"/>
  <c r="I130" i="7"/>
  <c r="J130" i="7" s="1"/>
  <c r="K130" i="7" s="1"/>
  <c r="I129" i="7"/>
  <c r="J129" i="7" s="1"/>
  <c r="K129" i="7" s="1"/>
  <c r="I126" i="7"/>
  <c r="K127" i="7"/>
  <c r="I131" i="7" l="1"/>
  <c r="J126" i="7"/>
  <c r="J131" i="7" s="1"/>
  <c r="K131" i="7" s="1"/>
  <c r="K126" i="7" l="1"/>
  <c r="M127" i="7" s="1"/>
  <c r="L130" i="7" l="1"/>
  <c r="M129" i="7"/>
  <c r="L129" i="7"/>
  <c r="M128" i="7"/>
  <c r="L128" i="7"/>
  <c r="M126" i="7"/>
  <c r="M130" i="7"/>
  <c r="L127" i="7"/>
  <c r="L126" i="7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<sst xmlns="http://schemas.openxmlformats.org/spreadsheetml/2006/main" count="1348" uniqueCount="469">
  <si>
    <t>Credit</t>
  </si>
  <si>
    <t>Cash</t>
  </si>
  <si>
    <t>Linear</t>
  </si>
  <si>
    <t>Monthly</t>
  </si>
  <si>
    <t>Semi Annual</t>
  </si>
  <si>
    <t>Annual</t>
  </si>
  <si>
    <t>Quarterly</t>
  </si>
  <si>
    <t>Frequency</t>
  </si>
  <si>
    <t>PaymentTerms</t>
  </si>
  <si>
    <t>GrowthType</t>
  </si>
  <si>
    <t>GrowthType2</t>
  </si>
  <si>
    <t>Fixed</t>
  </si>
  <si>
    <t>YTD</t>
  </si>
  <si>
    <t>Sales Products</t>
  </si>
  <si>
    <t>SalesGrowth</t>
  </si>
  <si>
    <t>GPGrowth</t>
  </si>
  <si>
    <t>CashSalesRatio</t>
  </si>
  <si>
    <t>CashPurchaseRatio</t>
  </si>
  <si>
    <t>Selective</t>
  </si>
  <si>
    <t>Interest</t>
  </si>
  <si>
    <t>q</t>
  </si>
  <si>
    <t>FY 2020</t>
  </si>
  <si>
    <t>Description</t>
  </si>
  <si>
    <t>Financial Model for Business and Cashflow Forecast</t>
  </si>
  <si>
    <t>Cost of Goods Sold</t>
  </si>
  <si>
    <t>Opening Stock</t>
  </si>
  <si>
    <t>Closing Stock</t>
  </si>
  <si>
    <t>Purchases</t>
  </si>
  <si>
    <t xml:space="preserve">Cost of Sales </t>
  </si>
  <si>
    <t>Other Direct costs</t>
  </si>
  <si>
    <t>Total Cost of Sales</t>
  </si>
  <si>
    <t>Gross Profit</t>
  </si>
  <si>
    <t>Indirect/Operating Expenditures</t>
  </si>
  <si>
    <t>Finance Costs - LOC/Bank Overdraft</t>
  </si>
  <si>
    <t>Finance Costs - Bank Loan</t>
  </si>
  <si>
    <t>Depreciation</t>
  </si>
  <si>
    <t>Supporting Schedules for the Model</t>
  </si>
  <si>
    <t>Fixed Asset and Depreciation Schedule</t>
  </si>
  <si>
    <t>Assumptions</t>
  </si>
  <si>
    <t>Assets additions and Deletion (disposals) in same row/line</t>
  </si>
  <si>
    <t>Assets additions and deletions would be at start of the month</t>
  </si>
  <si>
    <t>Profit or loss on sale of assets is ignored</t>
  </si>
  <si>
    <t>Leasehold Improvements</t>
  </si>
  <si>
    <t>Furnitures and Fixtures</t>
  </si>
  <si>
    <t>Computers and ICT</t>
  </si>
  <si>
    <t>Other assets</t>
  </si>
  <si>
    <t>Rate%</t>
  </si>
  <si>
    <t>Cost</t>
  </si>
  <si>
    <t>Depreciation per month</t>
  </si>
  <si>
    <t>Assets Purchased (Cash outflow)</t>
  </si>
  <si>
    <t>Equity and Loan Schedule</t>
  </si>
  <si>
    <t>Equity</t>
  </si>
  <si>
    <t>Loan</t>
  </si>
  <si>
    <t>Years</t>
  </si>
  <si>
    <t>Opening Balance</t>
  </si>
  <si>
    <t>Interest per month</t>
  </si>
  <si>
    <t>Instalment per month</t>
  </si>
  <si>
    <t>Principle Pay-out</t>
  </si>
  <si>
    <t>Total Overheads and Finance costs</t>
  </si>
  <si>
    <t>Net Profit</t>
  </si>
  <si>
    <t>NP%</t>
  </si>
  <si>
    <t>Total Sales</t>
  </si>
  <si>
    <t>Cashflow Statement (Direct Method)</t>
  </si>
  <si>
    <t>Credit Sales</t>
  </si>
  <si>
    <t>Cash Sales</t>
  </si>
  <si>
    <t>Collection from Credit Sales</t>
  </si>
  <si>
    <t>Days</t>
  </si>
  <si>
    <t>Factor</t>
  </si>
  <si>
    <t>Credit Day</t>
  </si>
  <si>
    <t>Total Cash Inflow</t>
  </si>
  <si>
    <t>Credit Purchases</t>
  </si>
  <si>
    <t>Cash Purchases</t>
  </si>
  <si>
    <t>Cash Payments to Suppliers</t>
  </si>
  <si>
    <t>Total Cash Outflow (Purchases)</t>
  </si>
  <si>
    <t>Other Direct overheads (Payments)</t>
  </si>
  <si>
    <t>Indirect overheads (Payments)</t>
  </si>
  <si>
    <t>Finance Costs</t>
  </si>
  <si>
    <t>Bank Loan</t>
  </si>
  <si>
    <t xml:space="preserve">Cash outflow </t>
  </si>
  <si>
    <t>Cashflow from Operation</t>
  </si>
  <si>
    <t>OCF Conversion</t>
  </si>
  <si>
    <t>Sale of Fixed Assets</t>
  </si>
  <si>
    <t>Capex Spend (Fixed Asses purchased)</t>
  </si>
  <si>
    <t>Repayment of Bank Loan</t>
  </si>
  <si>
    <t>Finance Cost - LOC</t>
  </si>
  <si>
    <t>Line of credit Inflow</t>
  </si>
  <si>
    <t>Line of Credit outflow</t>
  </si>
  <si>
    <t>Net Cashflow</t>
  </si>
  <si>
    <t xml:space="preserve">Closing Bank Balance </t>
  </si>
  <si>
    <t>Opening Cash/Bank Balance</t>
  </si>
  <si>
    <t>Trade Finance Schedule/Bank Overdraft/Line of Credit Schedule</t>
  </si>
  <si>
    <t>Opening Bank Balance</t>
  </si>
  <si>
    <t xml:space="preserve">Cashflow from operations </t>
  </si>
  <si>
    <t>Minimum Cash Required in the business</t>
  </si>
  <si>
    <t>Available or LOC Required</t>
  </si>
  <si>
    <t>Interest on LOC</t>
  </si>
  <si>
    <t>LOC Required for the month</t>
  </si>
  <si>
    <t xml:space="preserve">LOC Balance </t>
  </si>
  <si>
    <t>Error check</t>
  </si>
  <si>
    <t>(Profit) or loss on sale of fixed assets</t>
  </si>
  <si>
    <t>Sales</t>
  </si>
  <si>
    <t>GP</t>
  </si>
  <si>
    <t>GP%</t>
  </si>
  <si>
    <t>COS</t>
  </si>
  <si>
    <t>DC</t>
  </si>
  <si>
    <t>Max GP%</t>
  </si>
  <si>
    <t>MIN GP%</t>
  </si>
  <si>
    <t>IOH</t>
  </si>
  <si>
    <t>NP</t>
  </si>
  <si>
    <t>MAX NP%</t>
  </si>
  <si>
    <t>MIN NP%</t>
  </si>
  <si>
    <t>KPI</t>
  </si>
  <si>
    <t>MAX GP%</t>
  </si>
  <si>
    <t>Collection</t>
  </si>
  <si>
    <t>Payments</t>
  </si>
  <si>
    <t>OCF</t>
  </si>
  <si>
    <t>MAX OCF</t>
  </si>
  <si>
    <t>MIN OCF</t>
  </si>
  <si>
    <t>BL</t>
  </si>
  <si>
    <t>Product</t>
  </si>
  <si>
    <t>Min GP%</t>
  </si>
  <si>
    <t>Max NP%</t>
  </si>
  <si>
    <t>Min NP%</t>
  </si>
  <si>
    <t>ABC FPC</t>
  </si>
  <si>
    <t>Rice</t>
  </si>
  <si>
    <t>Wheat</t>
  </si>
  <si>
    <t>Quantity</t>
  </si>
  <si>
    <t>Seeds</t>
  </si>
  <si>
    <t>Basmati</t>
  </si>
  <si>
    <t>Jordaar</t>
  </si>
  <si>
    <t>Early sona</t>
  </si>
  <si>
    <t>Bitter gourd</t>
  </si>
  <si>
    <t>Sponge guord</t>
  </si>
  <si>
    <t>Cow pea</t>
  </si>
  <si>
    <t>Lady Finger</t>
  </si>
  <si>
    <t>Brinjal</t>
  </si>
  <si>
    <t>Wheat - 1544</t>
  </si>
  <si>
    <t>Wheat- 273</t>
  </si>
  <si>
    <t>Gram - GJ221</t>
  </si>
  <si>
    <t>Cauliflower</t>
  </si>
  <si>
    <t>Green Pea</t>
  </si>
  <si>
    <t>Water Melon</t>
  </si>
  <si>
    <t>Muskmelon</t>
  </si>
  <si>
    <t>Fertilizers</t>
  </si>
  <si>
    <t>Urea</t>
  </si>
  <si>
    <t>DAP</t>
  </si>
  <si>
    <t>SSP</t>
  </si>
  <si>
    <t>NPK 19 19 19</t>
  </si>
  <si>
    <t>12, 61, 0</t>
  </si>
  <si>
    <t>13, 0, 45</t>
  </si>
  <si>
    <t>Calcium nitrate</t>
  </si>
  <si>
    <t>MGSO4</t>
  </si>
  <si>
    <t>0 52 34</t>
  </si>
  <si>
    <t>13 40 13</t>
  </si>
  <si>
    <t>Micro nutrients</t>
  </si>
  <si>
    <t>Humic acid</t>
  </si>
  <si>
    <t>Pesticides</t>
  </si>
  <si>
    <t>profenofaas</t>
  </si>
  <si>
    <t>Cartep</t>
  </si>
  <si>
    <t>chloropyrofaas</t>
  </si>
  <si>
    <t>imamectine</t>
  </si>
  <si>
    <t>imida</t>
  </si>
  <si>
    <t>thimomathaxom</t>
  </si>
  <si>
    <t>acifate</t>
  </si>
  <si>
    <t>Cypermathene</t>
  </si>
  <si>
    <t>Fungicide</t>
  </si>
  <si>
    <t>Avancergold</t>
  </si>
  <si>
    <t>Provex</t>
  </si>
  <si>
    <t>Quprofix</t>
  </si>
  <si>
    <t>Ranman</t>
  </si>
  <si>
    <t>Copper Oxichloride</t>
  </si>
  <si>
    <t>Macrena</t>
  </si>
  <si>
    <t>Double power</t>
  </si>
  <si>
    <t>Reach flow</t>
  </si>
  <si>
    <t>King Power</t>
  </si>
  <si>
    <t>S.no.</t>
  </si>
  <si>
    <t xml:space="preserve">Village </t>
  </si>
  <si>
    <t>No of Farmers</t>
  </si>
  <si>
    <t>Total acres</t>
  </si>
  <si>
    <t>Total acre</t>
  </si>
  <si>
    <t>Vegetables</t>
  </si>
  <si>
    <t>jordar</t>
  </si>
  <si>
    <t xml:space="preserve">Basaniya </t>
  </si>
  <si>
    <t>Nidhani</t>
  </si>
  <si>
    <t>Kudopani</t>
  </si>
  <si>
    <t>sudgaon</t>
  </si>
  <si>
    <t>Munu</t>
  </si>
  <si>
    <t>saliwada</t>
  </si>
  <si>
    <t>Harra tikur</t>
  </si>
  <si>
    <t>Kasota</t>
  </si>
  <si>
    <t>Sontkiri</t>
  </si>
  <si>
    <t>Palehra</t>
  </si>
  <si>
    <t>Bilgaon</t>
  </si>
  <si>
    <t>Chaugan</t>
  </si>
  <si>
    <t>Padariya</t>
  </si>
  <si>
    <t>Chandwara</t>
  </si>
  <si>
    <t>Machla</t>
  </si>
  <si>
    <t>Pipardarra</t>
  </si>
  <si>
    <t>Bodasilli</t>
  </si>
  <si>
    <t>Patadei</t>
  </si>
  <si>
    <t>Malwather</t>
  </si>
  <si>
    <t>Silighiti</t>
  </si>
  <si>
    <t>kumharra</t>
  </si>
  <si>
    <t>Amjhar</t>
  </si>
  <si>
    <t>Mungwani</t>
  </si>
  <si>
    <t>Panchipani</t>
  </si>
  <si>
    <t>Bhanpur</t>
  </si>
  <si>
    <t>Jhurgi</t>
  </si>
  <si>
    <t>paudi</t>
  </si>
  <si>
    <t>malpehri</t>
  </si>
  <si>
    <t>Thebha</t>
  </si>
  <si>
    <t>Karegaon</t>
  </si>
  <si>
    <t>Jhanda tola</t>
  </si>
  <si>
    <t>Khairi mal</t>
  </si>
  <si>
    <t>khalhe guithori</t>
  </si>
  <si>
    <t>Tikra guithori</t>
  </si>
  <si>
    <t>Andiyadar</t>
  </si>
  <si>
    <t>Umardeeh</t>
  </si>
  <si>
    <t>Dhamanpani</t>
  </si>
  <si>
    <t>Chubhawal</t>
  </si>
  <si>
    <t>khinsi</t>
  </si>
  <si>
    <t>padadar</t>
  </si>
  <si>
    <t>daldala</t>
  </si>
  <si>
    <t>mohgaon ryt.</t>
  </si>
  <si>
    <t>beenjhi</t>
  </si>
  <si>
    <t>indra mal</t>
  </si>
  <si>
    <t>indra ryt</t>
  </si>
  <si>
    <t>raigaon</t>
  </si>
  <si>
    <t>umariya</t>
  </si>
  <si>
    <t>dongargaon</t>
  </si>
  <si>
    <t>singarpur</t>
  </si>
  <si>
    <t>gorakhpur</t>
  </si>
  <si>
    <t>simaiya</t>
  </si>
  <si>
    <t>odhari</t>
  </si>
  <si>
    <t>devgaon</t>
  </si>
  <si>
    <t>kanchangaon</t>
  </si>
  <si>
    <t>devri</t>
  </si>
  <si>
    <t>khairi ryt</t>
  </si>
  <si>
    <t>sakri</t>
  </si>
  <si>
    <t>kawadongri</t>
  </si>
  <si>
    <t>jargah</t>
  </si>
  <si>
    <t xml:space="preserve">Bilgada </t>
  </si>
  <si>
    <t>Price</t>
  </si>
  <si>
    <t>Inputs</t>
  </si>
  <si>
    <t>Output</t>
  </si>
  <si>
    <t>Services</t>
  </si>
  <si>
    <t>Processing</t>
  </si>
  <si>
    <t>Others</t>
  </si>
  <si>
    <t>Product Category</t>
  </si>
  <si>
    <t>Growth Promoter</t>
  </si>
  <si>
    <t>Total Sale</t>
  </si>
  <si>
    <t>Office Rent</t>
  </si>
  <si>
    <t>Fruits</t>
  </si>
  <si>
    <t>Pulses</t>
  </si>
  <si>
    <t>Grant</t>
  </si>
  <si>
    <t>Input Quantity</t>
  </si>
  <si>
    <t>Production per acre</t>
  </si>
  <si>
    <t>Total  Quantity Seeds</t>
  </si>
  <si>
    <t>Total  Quantity Production</t>
  </si>
  <si>
    <t>Total</t>
  </si>
  <si>
    <t>Net Produce for Sale</t>
  </si>
  <si>
    <t>% age Production for sale</t>
  </si>
  <si>
    <t>Wheat / Gram</t>
  </si>
  <si>
    <t>Jul-Sep</t>
  </si>
  <si>
    <t>Apr-Jun</t>
  </si>
  <si>
    <t>Oct-Dec</t>
  </si>
  <si>
    <t>2019-20</t>
  </si>
  <si>
    <t>2020-21</t>
  </si>
  <si>
    <t>2021-22</t>
  </si>
  <si>
    <t>Jan-Mar</t>
  </si>
  <si>
    <t>Product 
Category</t>
  </si>
  <si>
    <t>Seed Quantity Per Acre</t>
  </si>
  <si>
    <t>Humic acid ( water soluble fertilizer)</t>
  </si>
  <si>
    <t>Growth promotor</t>
  </si>
  <si>
    <t>Other Products</t>
  </si>
  <si>
    <t>Total Qty Required</t>
  </si>
  <si>
    <t>Output Quantity</t>
  </si>
  <si>
    <t>Input Actual Price</t>
  </si>
  <si>
    <t>Input Estimated Price</t>
  </si>
  <si>
    <t>Output Actual Price</t>
  </si>
  <si>
    <t>Output Estimated Price</t>
  </si>
  <si>
    <t>Margin%</t>
  </si>
  <si>
    <t>Sl.</t>
  </si>
  <si>
    <t>Name of the Staff Position</t>
  </si>
  <si>
    <t>No. of Staff (in that position)</t>
  </si>
  <si>
    <t>Monthly Gross salary</t>
  </si>
  <si>
    <t>Accountant cum store keeper</t>
  </si>
  <si>
    <t>Oulet supervisor</t>
  </si>
  <si>
    <t>Farmer Assistant</t>
  </si>
  <si>
    <t>Staff Cost</t>
  </si>
  <si>
    <t>Bank Charge</t>
  </si>
  <si>
    <t>Electricity Exp</t>
  </si>
  <si>
    <t>Fertillizer Challan</t>
  </si>
  <si>
    <t>GST Chalan</t>
  </si>
  <si>
    <t>Insecticide Chalan</t>
  </si>
  <si>
    <t>Internet  Recharge</t>
  </si>
  <si>
    <t>Meeting Exp</t>
  </si>
  <si>
    <t>Newspaper</t>
  </si>
  <si>
    <t>Postage &amp;Courier</t>
  </si>
  <si>
    <t>Printing &amp; Stationary</t>
  </si>
  <si>
    <t>Repairing and Maintnance</t>
  </si>
  <si>
    <t>Seeds Challan</t>
  </si>
  <si>
    <t>Water Expenses</t>
  </si>
  <si>
    <t>Travel &amp; Conveyance</t>
  </si>
  <si>
    <t>Reeper</t>
  </si>
  <si>
    <t>Rent charges of equipment</t>
  </si>
  <si>
    <t>Labour charges</t>
  </si>
  <si>
    <t>Petrol</t>
  </si>
  <si>
    <t xml:space="preserve">Maitenance cost </t>
  </si>
  <si>
    <t>Driver</t>
  </si>
  <si>
    <t>Diesel</t>
  </si>
  <si>
    <t>Maintenance cost</t>
  </si>
  <si>
    <t>Ploughing</t>
  </si>
  <si>
    <t>Sprayer</t>
  </si>
  <si>
    <t>Soil testing</t>
  </si>
  <si>
    <t>testing fees</t>
  </si>
  <si>
    <t>Tillering</t>
  </si>
  <si>
    <t>Thresher</t>
  </si>
  <si>
    <t>Cost
Category</t>
  </si>
  <si>
    <t>Expense</t>
  </si>
  <si>
    <t>Transport</t>
  </si>
  <si>
    <t>Storage Cost</t>
  </si>
  <si>
    <t>Labour</t>
  </si>
  <si>
    <t>Cost 
Category</t>
  </si>
  <si>
    <t>Cost Element</t>
  </si>
  <si>
    <t>Cost Trend</t>
  </si>
  <si>
    <t>Direct and Indirect Expenses</t>
  </si>
  <si>
    <t>Lodging and Boding</t>
  </si>
  <si>
    <t>Office Expense</t>
  </si>
  <si>
    <t xml:space="preserve"> Estimated Cost</t>
  </si>
  <si>
    <t>Total Number of Shareholders</t>
  </si>
  <si>
    <t xml:space="preserve">Number of Shareholders </t>
  </si>
  <si>
    <t>% of shareholders selling their produce to FPC</t>
  </si>
  <si>
    <t>Income of per shareholder</t>
  </si>
  <si>
    <t>Net Revenue for Farmers</t>
  </si>
  <si>
    <t>Average size of transection done by per shareholder (Qty)</t>
  </si>
  <si>
    <t>Inflation Rate</t>
  </si>
  <si>
    <t>Inflation</t>
  </si>
  <si>
    <t>Services Quantity</t>
  </si>
  <si>
    <t>Total Acres</t>
  </si>
  <si>
    <t>Services Actual Price</t>
  </si>
  <si>
    <t>Units</t>
  </si>
  <si>
    <t>Bank Charges</t>
  </si>
  <si>
    <t>Gross Margin%</t>
  </si>
  <si>
    <t>Net Profit%</t>
  </si>
  <si>
    <t>Glossary</t>
  </si>
  <si>
    <t>COGS</t>
  </si>
  <si>
    <t xml:space="preserve">GM </t>
  </si>
  <si>
    <t>Gross Margin</t>
  </si>
  <si>
    <t xml:space="preserve">GP </t>
  </si>
  <si>
    <t>Gross Profit'</t>
  </si>
  <si>
    <t>Operating Cash Flow</t>
  </si>
  <si>
    <t>Key Pointers to update the Business Planning Template</t>
  </si>
  <si>
    <t>Master Assumptions Tab - All cells to be filled except which are highlighted in Yellow. Yellow cells are formula driven.</t>
  </si>
  <si>
    <t>Cereals</t>
  </si>
  <si>
    <t>Millets A</t>
  </si>
  <si>
    <t>Millets B</t>
  </si>
  <si>
    <t>Millets C</t>
  </si>
  <si>
    <t>Millets D</t>
  </si>
  <si>
    <t>Millet A</t>
  </si>
  <si>
    <t>Millet B</t>
  </si>
  <si>
    <t>Millet C</t>
  </si>
  <si>
    <t>Millet D</t>
  </si>
  <si>
    <t>Processing Raw Material Actual Price</t>
  </si>
  <si>
    <t>Cost Line</t>
  </si>
  <si>
    <t>Particulars</t>
  </si>
  <si>
    <t>Fix/Variable</t>
  </si>
  <si>
    <t xml:space="preserve"> Unit</t>
  </si>
  <si>
    <t>Cost per unit</t>
  </si>
  <si>
    <t>Total unit</t>
  </si>
  <si>
    <t>Exp Per Year</t>
  </si>
  <si>
    <t>Payment to farmers</t>
  </si>
  <si>
    <t>Variable Cost</t>
  </si>
  <si>
    <t>Kg</t>
  </si>
  <si>
    <t>Labour -Loading</t>
  </si>
  <si>
    <t>Bag</t>
  </si>
  <si>
    <t>Packaging - Sag, Sewing</t>
  </si>
  <si>
    <t>Human Resource ( Collection Cluster RP)</t>
  </si>
  <si>
    <t>Persons</t>
  </si>
  <si>
    <t>Transportation Up to Storage</t>
  </si>
  <si>
    <t>Pick up load</t>
  </si>
  <si>
    <t>Storage Charge</t>
  </si>
  <si>
    <t xml:space="preserve">Labour -Unloading </t>
  </si>
  <si>
    <t>bag</t>
  </si>
  <si>
    <t>Production manager</t>
  </si>
  <si>
    <t>Fix Cost</t>
  </si>
  <si>
    <t>Person</t>
  </si>
  <si>
    <t>2 Stock Room - Rent</t>
  </si>
  <si>
    <t>Month</t>
  </si>
  <si>
    <t xml:space="preserve">Drying </t>
  </si>
  <si>
    <t>Person days</t>
  </si>
  <si>
    <t xml:space="preserve">Electricity-Meter Rent </t>
  </si>
  <si>
    <t xml:space="preserve">Month </t>
  </si>
  <si>
    <t>Electricity- Running Cost</t>
  </si>
  <si>
    <t>Unit</t>
  </si>
  <si>
    <t xml:space="preserve">Rent Space </t>
  </si>
  <si>
    <t>Helper</t>
  </si>
  <si>
    <t>Operator</t>
  </si>
  <si>
    <t>Packaging</t>
  </si>
  <si>
    <t>Pcs</t>
  </si>
  <si>
    <t>Packaging Materials-60 kg  Bag</t>
  </si>
  <si>
    <t>Helper for packaging</t>
  </si>
  <si>
    <t xml:space="preserve">Marketing </t>
  </si>
  <si>
    <t>Transportation - Hired Vehicle</t>
  </si>
  <si>
    <t>Trips</t>
  </si>
  <si>
    <t xml:space="preserve">Labour-Loading </t>
  </si>
  <si>
    <t>Marketing Supervisor</t>
  </si>
  <si>
    <t xml:space="preserve">License fees </t>
  </si>
  <si>
    <t>FSSAI renewal</t>
  </si>
  <si>
    <t>Lumpsum</t>
  </si>
  <si>
    <t>Processing Expenses</t>
  </si>
  <si>
    <t>Processing Raw Material Cost</t>
  </si>
  <si>
    <t xml:space="preserve">Processing Raw Material Quantity % </t>
  </si>
  <si>
    <t>Purchase of Raw Material</t>
  </si>
  <si>
    <t>Post Processing Quantity (KG)</t>
  </si>
  <si>
    <t>Processing Raw Material Quantity (KG)</t>
  </si>
  <si>
    <t>Net Produce available from Farmers</t>
  </si>
  <si>
    <t>% of Raw Material loss in Processing</t>
  </si>
  <si>
    <t>Net Produce available for sale</t>
  </si>
  <si>
    <t>Cost calculation millet per KG</t>
  </si>
  <si>
    <t>Total Fix Cost (INR)</t>
  </si>
  <si>
    <t>Unit Fix Cost (INR)</t>
  </si>
  <si>
    <t>Total variable cost (INR)</t>
  </si>
  <si>
    <t xml:space="preserve">Unit Variable Cost(INR) </t>
  </si>
  <si>
    <t>Cost of Processed Millet/kg</t>
  </si>
  <si>
    <t>Per Unit Margin(Per Unit Price- Per Unit V. Cost)</t>
  </si>
  <si>
    <t>Break Even(TFC/Per unit margine)Kg</t>
  </si>
  <si>
    <t>Break even/capacity</t>
  </si>
  <si>
    <t>Selling Price per Kg</t>
  </si>
  <si>
    <t>Total of Expenses</t>
  </si>
  <si>
    <t>Qty Loss in Processing</t>
  </si>
  <si>
    <t>Processing Exp</t>
  </si>
  <si>
    <t>Other Expenses</t>
  </si>
  <si>
    <t>Margin %</t>
  </si>
  <si>
    <t>ISSO , weighing, security etc.</t>
  </si>
  <si>
    <t>Expected Profit Margin(Apr-Jun)</t>
  </si>
  <si>
    <t>Loss in Transit</t>
  </si>
  <si>
    <t>Banana</t>
  </si>
  <si>
    <t>Transit Loss</t>
  </si>
  <si>
    <t>Actual Income Statement</t>
  </si>
  <si>
    <t>Total Transit Loss</t>
  </si>
  <si>
    <t>Closing Stock of Previous Finacial Year ended Mar 31st</t>
  </si>
  <si>
    <t>Percentage of Cash Sales</t>
  </si>
  <si>
    <t>Credit Days for Purchases</t>
  </si>
  <si>
    <t>Credit Days for Sales</t>
  </si>
  <si>
    <t>Interest Rate - Working Capital Finance</t>
  </si>
  <si>
    <t>Interest Rate - Long Term Loan</t>
  </si>
  <si>
    <t>Percentage of Cash Purchases</t>
  </si>
  <si>
    <t>Assets</t>
  </si>
  <si>
    <t>Depreciation Rate</t>
  </si>
  <si>
    <t>Amount</t>
  </si>
  <si>
    <t>Quarter</t>
  </si>
  <si>
    <t>Actual</t>
  </si>
  <si>
    <t>Planned</t>
  </si>
  <si>
    <t>Expense Type</t>
  </si>
  <si>
    <t>Variance</t>
  </si>
  <si>
    <t>Minimum Cash Required in the Business</t>
  </si>
  <si>
    <t>Service Estimated Price</t>
  </si>
  <si>
    <t>Sales Actuals Vs Planned</t>
  </si>
  <si>
    <t>Cost of Goods Actuals vs Planned</t>
  </si>
  <si>
    <t>Other Direct Cost Actuals Vs Planned</t>
  </si>
  <si>
    <t>Fixed Assets Purchases</t>
  </si>
  <si>
    <t>Business Vertical</t>
  </si>
  <si>
    <t>Processing Projections Tab - All cells to be filled except which are highlighted in Yellow. Yellow cells are formula driven.</t>
  </si>
  <si>
    <t xml:space="preserve">Dashboars Chart - Only input required in Cell E5 to generate performance chart for specific business (Input/Output/Services). </t>
  </si>
  <si>
    <t>Cost Head</t>
  </si>
  <si>
    <t>Processing Cost</t>
  </si>
  <si>
    <t>Selling price for Product per Unit</t>
  </si>
  <si>
    <t>Actual P&amp;L Statement Tab - Actual numbers to be fill only in green coloured cells. All coloured cells are formulated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</si>
</sst>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[$-409]mmm/yy;@"/>
    <numFmt numFmtId="168" formatCode="[$$-409]#,##0_);\([$$-409]#,##0\)"/>
    <numFmt numFmtId="169" formatCode="_ * #,##0_ ;_ * \-#,##0_ ;_ * &quot;-&quot;??_ ;_ @_ "/>
  </numFmts>
  <fonts count="63">
    <font>
      <sz val="10"/>
      <color theme="1"/>
      <name val="Arial Nov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ova"/>
      <family val="2"/>
    </font>
    <font>
      <sz val="10"/>
      <color rgb="FF9C5700"/>
      <name val="Arial Nova"/>
      <family val="2"/>
    </font>
    <font>
      <b/>
      <sz val="10"/>
      <color theme="0"/>
      <name val="Arial Nova"/>
      <family val="2"/>
    </font>
    <font>
      <sz val="10"/>
      <color rgb="FFFF0000"/>
      <name val="Arial Nova"/>
      <family val="2"/>
    </font>
    <font>
      <b/>
      <sz val="10"/>
      <color theme="1"/>
      <name val="Arial Nova"/>
      <family val="2"/>
    </font>
    <font>
      <sz val="10"/>
      <color theme="0"/>
      <name val="Arial Nova"/>
      <family val="2"/>
    </font>
    <font>
      <b/>
      <sz val="10"/>
      <color rgb="FF0070C0"/>
      <name val="Arial Nova"/>
      <family val="2"/>
    </font>
    <font>
      <b/>
      <sz val="9"/>
      <color theme="1"/>
      <name val="Arial Nova"/>
      <family val="2"/>
    </font>
    <font>
      <sz val="10"/>
      <color theme="0" tint="-0.14999847407452621"/>
      <name val="Arial Nova"/>
      <family val="2"/>
    </font>
    <font>
      <b/>
      <sz val="8"/>
      <color theme="1"/>
      <name val="Arial Nova"/>
      <family val="2"/>
    </font>
    <font>
      <sz val="9"/>
      <color theme="1"/>
      <name val="Arial Nova"/>
      <family val="2"/>
    </font>
    <font>
      <b/>
      <sz val="9"/>
      <color rgb="FFFF0000"/>
      <name val="Arial Nova"/>
      <family val="2"/>
    </font>
    <font>
      <b/>
      <sz val="8"/>
      <color rgb="FFFF0000"/>
      <name val="Arial Nova"/>
      <family val="2"/>
    </font>
    <font>
      <b/>
      <sz val="9"/>
      <color rgb="FF0070C0"/>
      <name val="Arial Nova"/>
      <family val="2"/>
    </font>
    <font>
      <b/>
      <sz val="7"/>
      <color rgb="FFFF0000"/>
      <name val="Arial Nova"/>
      <family val="2"/>
    </font>
    <font>
      <sz val="9.5"/>
      <color theme="1"/>
      <name val="Arial Nova"/>
      <family val="2"/>
    </font>
    <font>
      <b/>
      <sz val="9.5"/>
      <color theme="1"/>
      <name val="Arial Nova"/>
      <family val="2"/>
    </font>
    <font>
      <b/>
      <sz val="8"/>
      <color theme="8" tint="-0.249977111117893"/>
      <name val="Arial Nova"/>
      <family val="2"/>
    </font>
    <font>
      <sz val="10"/>
      <color theme="8" tint="-0.249977111117893"/>
      <name val="Arial Nova"/>
      <family val="2"/>
    </font>
    <font>
      <b/>
      <i/>
      <sz val="6.5"/>
      <color rgb="FFFF0000"/>
      <name val="Arial Nova"/>
      <family val="2"/>
    </font>
    <font>
      <b/>
      <sz val="9"/>
      <color theme="5" tint="-0.499984740745262"/>
      <name val="Arial Nova"/>
      <family val="2"/>
    </font>
    <font>
      <b/>
      <sz val="9"/>
      <color rgb="FF05088B"/>
      <name val="Arial Nova"/>
      <family val="2"/>
    </font>
    <font>
      <b/>
      <sz val="10"/>
      <color rgb="FF05088B"/>
      <name val="Arial Nova"/>
      <family val="2"/>
    </font>
    <font>
      <b/>
      <sz val="8"/>
      <color rgb="FF05088B"/>
      <name val="Arial Nova"/>
      <family val="2"/>
    </font>
    <font>
      <b/>
      <sz val="9"/>
      <color rgb="FF0000FF"/>
      <name val="Arial Nova"/>
      <family val="2"/>
    </font>
    <font>
      <sz val="9"/>
      <color rgb="FF0000FF"/>
      <name val="Arial Nova"/>
      <family val="2"/>
    </font>
    <font>
      <sz val="10"/>
      <color rgb="FF0000FF"/>
      <name val="Arial Nova"/>
      <family val="2"/>
    </font>
    <font>
      <sz val="8"/>
      <color rgb="FF0000FF"/>
      <name val="Arial Nova"/>
      <family val="2"/>
    </font>
    <font>
      <sz val="10"/>
      <color theme="0" tint="-0.249977111117893"/>
      <name val="Arial Nova"/>
      <family val="2"/>
    </font>
    <font>
      <b/>
      <sz val="7.5"/>
      <color rgb="FF0000FF"/>
      <name val="Arial Nova"/>
      <family val="2"/>
    </font>
    <font>
      <b/>
      <sz val="7"/>
      <color rgb="FF0000FF"/>
      <name val="Arial Nova"/>
      <family val="2"/>
    </font>
    <font>
      <sz val="10"/>
      <color theme="0" tint="-4.9989318521683403E-2"/>
      <name val="Arial Nova"/>
      <family val="2"/>
    </font>
    <font>
      <b/>
      <sz val="8"/>
      <color theme="0" tint="-4.9989318521683403E-2"/>
      <name val="Arial Nova"/>
      <family val="2"/>
    </font>
    <font>
      <sz val="8"/>
      <color theme="1"/>
      <name val="Arial Nova"/>
      <family val="2"/>
    </font>
    <font>
      <sz val="8"/>
      <color rgb="FFFF0000"/>
      <name val="Arial Nova"/>
      <family val="2"/>
    </font>
    <font>
      <sz val="7"/>
      <color theme="1" tint="0.499984740745262"/>
      <name val="Arial Nova"/>
      <family val="2"/>
    </font>
    <font>
      <b/>
      <sz val="10"/>
      <color rgb="FF0000FF"/>
      <name val="Arial Nova"/>
      <family val="2"/>
    </font>
    <font>
      <b/>
      <sz val="10"/>
      <color rgb="FFFF0000"/>
      <name val="Arial Nova"/>
      <family val="2"/>
    </font>
    <font>
      <b/>
      <sz val="8"/>
      <color theme="5" tint="-0.499984740745262"/>
      <name val="Arial Nova"/>
      <family val="2"/>
    </font>
    <font>
      <b/>
      <i/>
      <sz val="8"/>
      <color theme="1"/>
      <name val="Arial Nova"/>
      <family val="2"/>
    </font>
    <font>
      <b/>
      <sz val="9"/>
      <color theme="1" tint="0.14999847407452621"/>
      <name val="Arial Nova"/>
      <family val="2"/>
    </font>
    <font>
      <sz val="10"/>
      <color theme="1" tint="0.14999847407452621"/>
      <name val="Arial Nova"/>
      <family val="2"/>
    </font>
    <font>
      <sz val="8"/>
      <color theme="1" tint="0.34998626667073579"/>
      <name val="Arial Nova"/>
      <family val="2"/>
    </font>
    <font>
      <b/>
      <sz val="8"/>
      <color theme="1" tint="0.34998626667073579"/>
      <name val="Arial Nova"/>
      <family val="2"/>
    </font>
    <font>
      <b/>
      <sz val="10"/>
      <color theme="5" tint="-0.499984740745262"/>
      <name val="Arial Nova"/>
      <family val="2"/>
    </font>
    <font>
      <sz val="8"/>
      <color theme="5" tint="-0.499984740745262"/>
      <name val="Arial Nova"/>
      <family val="2"/>
    </font>
    <font>
      <sz val="10"/>
      <color theme="8" tint="-0.499984740745262"/>
      <name val="Arial Nova"/>
      <family val="2"/>
    </font>
    <font>
      <i/>
      <sz val="8"/>
      <color rgb="FF0000FF"/>
      <name val="Arial Nova"/>
      <family val="2"/>
    </font>
    <font>
      <sz val="9"/>
      <color rgb="FFFF0000"/>
      <name val="Wingdings 3"/>
      <family val="1"/>
      <charset val="2"/>
    </font>
    <font>
      <sz val="10"/>
      <color rgb="FFFF0000"/>
      <name val="Wingdings 3"/>
      <family val="1"/>
      <charset val="2"/>
    </font>
    <font>
      <sz val="8"/>
      <color rgb="FFFF0000"/>
      <name val="Wingdings 3"/>
      <family val="1"/>
      <charset val="2"/>
    </font>
    <font>
      <sz val="10"/>
      <color theme="0" tint="-0.34998626667073579"/>
      <name val="Arial Nova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2060"/>
      <name val="Calibri"/>
      <family val="2"/>
    </font>
    <font>
      <sz val="8"/>
      <name val="Arial Nov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/>
        <bgColor indexed="64"/>
      </patternFill>
    </fill>
  </fills>
  <borders count="89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/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55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1214">
    <xf numFmtId="0" fontId="0" fillId="0" borderId="0" xfId="0"/>
    <xf numFmtId="0" fontId="7" fillId="0" borderId="0" xfId="0" applyFont="1"/>
    <xf numFmtId="0" fontId="9" fillId="0" borderId="0" xfId="0" applyFont="1"/>
    <xf numFmtId="0" fontId="5" fillId="3" borderId="0" xfId="0" applyFont="1" applyFill="1"/>
    <xf numFmtId="0" fontId="8" fillId="3" borderId="0" xfId="0" applyFont="1" applyFill="1"/>
    <xf numFmtId="0" fontId="0" fillId="0" borderId="0" xfId="0" applyAlignment="1">
      <alignment horizontal="left" indent="1"/>
    </xf>
    <xf numFmtId="165" fontId="0" fillId="0" borderId="0" xfId="1" applyNumberFormat="1" applyFont="1"/>
    <xf numFmtId="9" fontId="0" fillId="0" borderId="0" xfId="0" applyNumberFormat="1"/>
    <xf numFmtId="9" fontId="0" fillId="0" borderId="0" xfId="0" applyNumberFormat="1" applyFont="1" applyFill="1" applyBorder="1"/>
    <xf numFmtId="165" fontId="7" fillId="0" borderId="0" xfId="1" applyNumberFormat="1" applyFont="1"/>
    <xf numFmtId="0" fontId="7" fillId="0" borderId="0" xfId="0" applyFont="1" applyAlignment="1"/>
    <xf numFmtId="0" fontId="11" fillId="0" borderId="0" xfId="0" applyFont="1"/>
    <xf numFmtId="0" fontId="7" fillId="0" borderId="1" xfId="0" applyFont="1" applyBorder="1" applyAlignment="1">
      <alignment horizontal="left"/>
    </xf>
    <xf numFmtId="0" fontId="0" fillId="0" borderId="1" xfId="0" applyBorder="1"/>
    <xf numFmtId="0" fontId="0" fillId="0" borderId="2" xfId="0" applyBorder="1"/>
    <xf numFmtId="165" fontId="3" fillId="0" borderId="0" xfId="1" applyNumberFormat="1" applyFont="1"/>
    <xf numFmtId="0" fontId="10" fillId="0" borderId="0" xfId="0" applyFont="1" applyAlignment="1">
      <alignment horizontal="left" indent="1"/>
    </xf>
    <xf numFmtId="0" fontId="14" fillId="0" borderId="0" xfId="0" applyFont="1" applyAlignment="1">
      <alignment horizontal="left" indent="1"/>
    </xf>
    <xf numFmtId="0" fontId="10" fillId="0" borderId="0" xfId="0" applyFont="1" applyAlignment="1">
      <alignment horizontal="left"/>
    </xf>
    <xf numFmtId="165" fontId="10" fillId="0" borderId="1" xfId="1" applyNumberFormat="1" applyFont="1" applyBorder="1"/>
    <xf numFmtId="165" fontId="12" fillId="0" borderId="1" xfId="1" applyNumberFormat="1" applyFont="1" applyBorder="1"/>
    <xf numFmtId="0" fontId="6" fillId="0" borderId="0" xfId="0" applyFont="1"/>
    <xf numFmtId="0" fontId="15" fillId="0" borderId="0" xfId="0" applyFont="1" applyAlignment="1">
      <alignment horizontal="center"/>
    </xf>
    <xf numFmtId="166" fontId="3" fillId="0" borderId="0" xfId="2" applyNumberFormat="1" applyFont="1"/>
    <xf numFmtId="10" fontId="0" fillId="0" borderId="0" xfId="2" applyNumberFormat="1" applyFont="1"/>
    <xf numFmtId="165" fontId="10" fillId="0" borderId="0" xfId="1" applyNumberFormat="1" applyFont="1"/>
    <xf numFmtId="9" fontId="16" fillId="0" borderId="0" xfId="0" applyNumberFormat="1" applyFont="1"/>
    <xf numFmtId="0" fontId="17" fillId="0" borderId="0" xfId="0" applyFont="1" applyAlignment="1">
      <alignment horizontal="right"/>
    </xf>
    <xf numFmtId="165" fontId="13" fillId="0" borderId="0" xfId="1" applyNumberFormat="1" applyFont="1"/>
    <xf numFmtId="0" fontId="18" fillId="0" borderId="0" xfId="0" applyFont="1" applyAlignment="1">
      <alignment horizontal="left" indent="2"/>
    </xf>
    <xf numFmtId="0" fontId="15" fillId="0" borderId="0" xfId="0" applyFont="1"/>
    <xf numFmtId="165" fontId="12" fillId="0" borderId="2" xfId="1" applyNumberFormat="1" applyFont="1" applyBorder="1"/>
    <xf numFmtId="165" fontId="10" fillId="0" borderId="2" xfId="1" applyNumberFormat="1" applyFont="1" applyBorder="1"/>
    <xf numFmtId="0" fontId="7" fillId="0" borderId="0" xfId="0" applyFont="1" applyBorder="1" applyAlignment="1">
      <alignment horizontal="left"/>
    </xf>
    <xf numFmtId="0" fontId="0" fillId="0" borderId="0" xfId="0" applyBorder="1"/>
    <xf numFmtId="165" fontId="12" fillId="0" borderId="0" xfId="1" applyNumberFormat="1" applyFont="1" applyBorder="1"/>
    <xf numFmtId="165" fontId="10" fillId="0" borderId="0" xfId="1" applyNumberFormat="1" applyFont="1" applyBorder="1"/>
    <xf numFmtId="165" fontId="18" fillId="0" borderId="0" xfId="1" applyNumberFormat="1" applyFont="1"/>
    <xf numFmtId="0" fontId="0" fillId="0" borderId="0" xfId="0" applyFont="1" applyAlignment="1">
      <alignment horizontal="left" indent="1"/>
    </xf>
    <xf numFmtId="165" fontId="19" fillId="0" borderId="0" xfId="1" applyNumberFormat="1" applyFont="1"/>
    <xf numFmtId="0" fontId="22" fillId="0" borderId="0" xfId="0" applyFont="1"/>
    <xf numFmtId="0" fontId="14" fillId="0" borderId="0" xfId="0" applyFont="1"/>
    <xf numFmtId="0" fontId="7" fillId="0" borderId="0" xfId="0" applyFont="1" applyAlignment="1">
      <alignment horizontal="left"/>
    </xf>
    <xf numFmtId="0" fontId="18" fillId="0" borderId="0" xfId="0" applyFont="1" applyAlignment="1">
      <alignment horizontal="left" indent="1"/>
    </xf>
    <xf numFmtId="0" fontId="19" fillId="0" borderId="0" xfId="0" applyFont="1" applyAlignment="1">
      <alignment horizontal="left"/>
    </xf>
    <xf numFmtId="166" fontId="0" fillId="0" borderId="0" xfId="2" applyNumberFormat="1" applyFont="1"/>
    <xf numFmtId="165" fontId="0" fillId="0" borderId="0" xfId="0" applyNumberFormat="1"/>
    <xf numFmtId="165" fontId="15" fillId="0" borderId="0" xfId="1" applyNumberFormat="1" applyFont="1"/>
    <xf numFmtId="0" fontId="23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5" fillId="0" borderId="0" xfId="0" applyFont="1"/>
    <xf numFmtId="165" fontId="25" fillId="0" borderId="0" xfId="1" applyNumberFormat="1" applyFont="1"/>
    <xf numFmtId="9" fontId="24" fillId="0" borderId="0" xfId="2" applyNumberFormat="1" applyFont="1"/>
    <xf numFmtId="0" fontId="0" fillId="7" borderId="0" xfId="0" applyFill="1" applyAlignment="1">
      <alignment horizontal="left" indent="1"/>
    </xf>
    <xf numFmtId="0" fontId="0" fillId="7" borderId="0" xfId="0" applyFill="1"/>
    <xf numFmtId="165" fontId="0" fillId="7" borderId="0" xfId="1" applyNumberFormat="1" applyFont="1" applyFill="1"/>
    <xf numFmtId="165" fontId="7" fillId="7" borderId="0" xfId="1" applyNumberFormat="1" applyFont="1" applyFill="1"/>
    <xf numFmtId="0" fontId="26" fillId="0" borderId="0" xfId="0" applyFont="1"/>
    <xf numFmtId="0" fontId="21" fillId="0" borderId="0" xfId="0" applyFont="1" applyFill="1" applyAlignment="1">
      <alignment horizontal="right"/>
    </xf>
    <xf numFmtId="166" fontId="20" fillId="0" borderId="0" xfId="2" applyNumberFormat="1" applyFont="1" applyFill="1"/>
    <xf numFmtId="0" fontId="13" fillId="0" borderId="0" xfId="0" applyFont="1" applyAlignment="1">
      <alignment horizontal="left" indent="2"/>
    </xf>
    <xf numFmtId="38" fontId="28" fillId="0" borderId="0" xfId="1" applyNumberFormat="1" applyFont="1"/>
    <xf numFmtId="165" fontId="30" fillId="0" borderId="0" xfId="1" applyNumberFormat="1" applyFont="1"/>
    <xf numFmtId="165" fontId="27" fillId="0" borderId="0" xfId="1" applyNumberFormat="1" applyFont="1"/>
    <xf numFmtId="0" fontId="29" fillId="0" borderId="0" xfId="0" applyFont="1" applyFill="1"/>
    <xf numFmtId="0" fontId="13" fillId="0" borderId="0" xfId="0" applyFont="1"/>
    <xf numFmtId="0" fontId="31" fillId="0" borderId="0" xfId="0" applyFont="1"/>
    <xf numFmtId="9" fontId="33" fillId="0" borderId="0" xfId="0" applyNumberFormat="1" applyFont="1"/>
    <xf numFmtId="0" fontId="34" fillId="0" borderId="0" xfId="0" applyFont="1"/>
    <xf numFmtId="0" fontId="35" fillId="0" borderId="0" xfId="0" applyFont="1" applyAlignment="1">
      <alignment horizontal="center"/>
    </xf>
    <xf numFmtId="0" fontId="0" fillId="8" borderId="0" xfId="0" applyFont="1" applyFill="1"/>
    <xf numFmtId="164" fontId="0" fillId="0" borderId="0" xfId="1" applyNumberFormat="1" applyFont="1"/>
    <xf numFmtId="0" fontId="36" fillId="0" borderId="0" xfId="0" applyFont="1"/>
    <xf numFmtId="165" fontId="36" fillId="0" borderId="0" xfId="1" applyNumberFormat="1" applyFont="1"/>
    <xf numFmtId="165" fontId="12" fillId="0" borderId="0" xfId="1" applyNumberFormat="1" applyFont="1"/>
    <xf numFmtId="0" fontId="7" fillId="0" borderId="6" xfId="0" applyFont="1" applyBorder="1"/>
    <xf numFmtId="0" fontId="0" fillId="0" borderId="6" xfId="0" applyBorder="1"/>
    <xf numFmtId="165" fontId="0" fillId="0" borderId="6" xfId="1" applyNumberFormat="1" applyFont="1" applyBorder="1"/>
    <xf numFmtId="166" fontId="12" fillId="0" borderId="6" xfId="2" applyNumberFormat="1" applyFont="1" applyBorder="1"/>
    <xf numFmtId="0" fontId="5" fillId="10" borderId="0" xfId="0" applyFont="1" applyFill="1" applyBorder="1"/>
    <xf numFmtId="0" fontId="8" fillId="10" borderId="0" xfId="0" applyFont="1" applyFill="1"/>
    <xf numFmtId="165" fontId="8" fillId="10" borderId="0" xfId="1" applyNumberFormat="1" applyFont="1" applyFill="1"/>
    <xf numFmtId="167" fontId="5" fillId="10" borderId="0" xfId="1" applyNumberFormat="1" applyFont="1" applyFill="1"/>
    <xf numFmtId="167" fontId="5" fillId="10" borderId="0" xfId="1" applyNumberFormat="1" applyFont="1" applyFill="1" applyAlignment="1">
      <alignment horizontal="center"/>
    </xf>
    <xf numFmtId="0" fontId="10" fillId="0" borderId="7" xfId="0" applyFont="1" applyBorder="1"/>
    <xf numFmtId="0" fontId="0" fillId="0" borderId="0" xfId="0" applyFill="1"/>
    <xf numFmtId="165" fontId="7" fillId="9" borderId="9" xfId="1" applyNumberFormat="1" applyFont="1" applyFill="1" applyBorder="1"/>
    <xf numFmtId="17" fontId="7" fillId="9" borderId="1" xfId="0" applyNumberFormat="1" applyFont="1" applyFill="1" applyBorder="1"/>
    <xf numFmtId="17" fontId="7" fillId="9" borderId="10" xfId="0" applyNumberFormat="1" applyFont="1" applyFill="1" applyBorder="1"/>
    <xf numFmtId="0" fontId="0" fillId="9" borderId="11" xfId="0" applyFill="1" applyBorder="1"/>
    <xf numFmtId="165" fontId="0" fillId="9" borderId="0" xfId="1" applyNumberFormat="1" applyFont="1" applyFill="1" applyBorder="1"/>
    <xf numFmtId="165" fontId="0" fillId="9" borderId="12" xfId="1" applyNumberFormat="1" applyFont="1" applyFill="1" applyBorder="1"/>
    <xf numFmtId="0" fontId="0" fillId="9" borderId="13" xfId="0" applyFill="1" applyBorder="1"/>
    <xf numFmtId="165" fontId="0" fillId="9" borderId="3" xfId="1" applyNumberFormat="1" applyFont="1" applyFill="1" applyBorder="1"/>
    <xf numFmtId="165" fontId="0" fillId="9" borderId="14" xfId="1" applyNumberFormat="1" applyFont="1" applyFill="1" applyBorder="1"/>
    <xf numFmtId="0" fontId="8" fillId="0" borderId="0" xfId="0" applyFont="1" applyFill="1"/>
    <xf numFmtId="0" fontId="10" fillId="7" borderId="2" xfId="0" applyFont="1" applyFill="1" applyBorder="1"/>
    <xf numFmtId="165" fontId="10" fillId="7" borderId="2" xfId="1" applyNumberFormat="1" applyFont="1" applyFill="1" applyBorder="1"/>
    <xf numFmtId="0" fontId="10" fillId="7" borderId="3" xfId="0" applyFont="1" applyFill="1" applyBorder="1"/>
    <xf numFmtId="165" fontId="10" fillId="7" borderId="3" xfId="1" applyNumberFormat="1" applyFont="1" applyFill="1" applyBorder="1"/>
    <xf numFmtId="165" fontId="37" fillId="0" borderId="0" xfId="1" applyNumberFormat="1" applyFont="1"/>
    <xf numFmtId="0" fontId="6" fillId="0" borderId="0" xfId="0" applyFont="1" applyFill="1"/>
    <xf numFmtId="0" fontId="8" fillId="8" borderId="0" xfId="0" applyFont="1" applyFill="1"/>
    <xf numFmtId="0" fontId="5" fillId="8" borderId="0" xfId="0" applyFont="1" applyFill="1"/>
    <xf numFmtId="165" fontId="8" fillId="8" borderId="0" xfId="1" applyNumberFormat="1" applyFont="1" applyFill="1"/>
    <xf numFmtId="165" fontId="29" fillId="0" borderId="0" xfId="1" applyNumberFormat="1" applyFont="1"/>
    <xf numFmtId="165" fontId="27" fillId="7" borderId="2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7" fillId="0" borderId="0" xfId="0" applyFont="1"/>
    <xf numFmtId="0" fontId="10" fillId="0" borderId="0" xfId="0" applyFont="1" applyBorder="1"/>
    <xf numFmtId="166" fontId="15" fillId="0" borderId="0" xfId="2" applyNumberFormat="1" applyFont="1" applyFill="1" applyBorder="1" applyAlignment="1">
      <alignment horizontal="right"/>
    </xf>
    <xf numFmtId="0" fontId="29" fillId="0" borderId="0" xfId="0" applyFont="1" applyFill="1" applyBorder="1"/>
    <xf numFmtId="0" fontId="27" fillId="0" borderId="0" xfId="0" applyFont="1" applyBorder="1"/>
    <xf numFmtId="0" fontId="7" fillId="6" borderId="4" xfId="0" applyFont="1" applyFill="1" applyBorder="1" applyAlignment="1">
      <alignment horizontal="left"/>
    </xf>
    <xf numFmtId="0" fontId="0" fillId="6" borderId="4" xfId="0" applyFill="1" applyBorder="1"/>
    <xf numFmtId="165" fontId="0" fillId="6" borderId="4" xfId="1" applyNumberFormat="1" applyFont="1" applyFill="1" applyBorder="1"/>
    <xf numFmtId="165" fontId="19" fillId="6" borderId="4" xfId="1" applyNumberFormat="1" applyFont="1" applyFill="1" applyBorder="1"/>
    <xf numFmtId="0" fontId="7" fillId="11" borderId="0" xfId="0" applyFont="1" applyFill="1" applyAlignment="1">
      <alignment horizontal="left"/>
    </xf>
    <xf numFmtId="0" fontId="0" fillId="11" borderId="0" xfId="0" applyFill="1"/>
    <xf numFmtId="165" fontId="0" fillId="11" borderId="0" xfId="1" applyNumberFormat="1" applyFont="1" applyFill="1"/>
    <xf numFmtId="165" fontId="7" fillId="11" borderId="0" xfId="1" applyNumberFormat="1" applyFont="1" applyFill="1"/>
    <xf numFmtId="0" fontId="7" fillId="11" borderId="4" xfId="0" applyFont="1" applyFill="1" applyBorder="1" applyAlignment="1">
      <alignment horizontal="left"/>
    </xf>
    <xf numFmtId="0" fontId="0" fillId="11" borderId="4" xfId="0" applyFill="1" applyBorder="1"/>
    <xf numFmtId="165" fontId="0" fillId="11" borderId="4" xfId="1" applyNumberFormat="1" applyFont="1" applyFill="1" applyBorder="1"/>
    <xf numFmtId="165" fontId="7" fillId="11" borderId="4" xfId="1" applyNumberFormat="1" applyFont="1" applyFill="1" applyBorder="1"/>
    <xf numFmtId="0" fontId="5" fillId="10" borderId="5" xfId="0" applyFont="1" applyFill="1" applyBorder="1" applyAlignment="1">
      <alignment horizontal="left"/>
    </xf>
    <xf numFmtId="0" fontId="5" fillId="10" borderId="5" xfId="0" applyFont="1" applyFill="1" applyBorder="1"/>
    <xf numFmtId="165" fontId="5" fillId="10" borderId="5" xfId="1" applyNumberFormat="1" applyFont="1" applyFill="1" applyBorder="1"/>
    <xf numFmtId="0" fontId="12" fillId="0" borderId="0" xfId="0" applyFont="1"/>
    <xf numFmtId="0" fontId="43" fillId="6" borderId="16" xfId="0" applyFont="1" applyFill="1" applyBorder="1"/>
    <xf numFmtId="0" fontId="44" fillId="6" borderId="16" xfId="0" applyFont="1" applyFill="1" applyBorder="1"/>
    <xf numFmtId="165" fontId="44" fillId="6" borderId="16" xfId="1" applyNumberFormat="1" applyFont="1" applyFill="1" applyBorder="1"/>
    <xf numFmtId="0" fontId="36" fillId="0" borderId="0" xfId="0" applyFont="1" applyFill="1"/>
    <xf numFmtId="165" fontId="0" fillId="0" borderId="0" xfId="1" applyNumberFormat="1" applyFont="1" applyFill="1"/>
    <xf numFmtId="165" fontId="41" fillId="0" borderId="0" xfId="1" applyNumberFormat="1" applyFont="1" applyFill="1"/>
    <xf numFmtId="165" fontId="41" fillId="0" borderId="0" xfId="1" applyNumberFormat="1" applyFont="1" applyFill="1" applyAlignment="1">
      <alignment horizontal="center"/>
    </xf>
    <xf numFmtId="0" fontId="10" fillId="0" borderId="2" xfId="0" applyFont="1" applyFill="1" applyBorder="1"/>
    <xf numFmtId="165" fontId="10" fillId="0" borderId="2" xfId="1" applyNumberFormat="1" applyFont="1" applyFill="1" applyBorder="1"/>
    <xf numFmtId="0" fontId="10" fillId="0" borderId="3" xfId="0" applyFont="1" applyFill="1" applyBorder="1"/>
    <xf numFmtId="165" fontId="10" fillId="0" borderId="3" xfId="1" applyNumberFormat="1" applyFont="1" applyFill="1" applyBorder="1"/>
    <xf numFmtId="0" fontId="12" fillId="0" borderId="0" xfId="0" applyFont="1" applyFill="1"/>
    <xf numFmtId="165" fontId="12" fillId="0" borderId="15" xfId="1" applyNumberFormat="1" applyFont="1" applyFill="1" applyBorder="1"/>
    <xf numFmtId="38" fontId="13" fillId="0" borderId="0" xfId="1" applyNumberFormat="1" applyFont="1"/>
    <xf numFmtId="0" fontId="13" fillId="0" borderId="2" xfId="0" applyFont="1" applyFill="1" applyBorder="1"/>
    <xf numFmtId="165" fontId="13" fillId="0" borderId="2" xfId="1" applyNumberFormat="1" applyFont="1" applyFill="1" applyBorder="1"/>
    <xf numFmtId="0" fontId="13" fillId="0" borderId="3" xfId="0" applyFont="1" applyFill="1" applyBorder="1"/>
    <xf numFmtId="165" fontId="13" fillId="0" borderId="3" xfId="1" applyNumberFormat="1" applyFont="1" applyFill="1" applyBorder="1"/>
    <xf numFmtId="0" fontId="12" fillId="0" borderId="15" xfId="0" applyFont="1" applyFill="1" applyBorder="1"/>
    <xf numFmtId="165" fontId="45" fillId="0" borderId="0" xfId="0" applyNumberFormat="1" applyFont="1"/>
    <xf numFmtId="165" fontId="46" fillId="0" borderId="0" xfId="1" applyNumberFormat="1" applyFont="1" applyFill="1" applyBorder="1"/>
    <xf numFmtId="9" fontId="7" fillId="0" borderId="0" xfId="2" applyFont="1"/>
    <xf numFmtId="0" fontId="0" fillId="0" borderId="0" xfId="0" applyFont="1" applyFill="1"/>
    <xf numFmtId="165" fontId="23" fillId="0" borderId="7" xfId="1" applyNumberFormat="1" applyFont="1" applyBorder="1"/>
    <xf numFmtId="165" fontId="23" fillId="0" borderId="0" xfId="1" applyNumberFormat="1" applyFont="1" applyBorder="1"/>
    <xf numFmtId="0" fontId="13" fillId="0" borderId="7" xfId="0" applyFont="1" applyBorder="1" applyAlignment="1">
      <alignment horizontal="left" indent="1"/>
    </xf>
    <xf numFmtId="0" fontId="13" fillId="0" borderId="0" xfId="0" applyFont="1" applyBorder="1" applyAlignment="1">
      <alignment horizontal="left" indent="1"/>
    </xf>
    <xf numFmtId="165" fontId="47" fillId="7" borderId="0" xfId="1" applyNumberFormat="1" applyFont="1" applyFill="1"/>
    <xf numFmtId="165" fontId="48" fillId="0" borderId="0" xfId="1" applyNumberFormat="1" applyFont="1"/>
    <xf numFmtId="0" fontId="47" fillId="7" borderId="0" xfId="0" applyFont="1" applyFill="1" applyAlignment="1">
      <alignment horizontal="left" indent="1"/>
    </xf>
    <xf numFmtId="0" fontId="47" fillId="7" borderId="0" xfId="0" applyFont="1" applyFill="1"/>
    <xf numFmtId="0" fontId="47" fillId="0" borderId="0" xfId="0" applyFont="1" applyAlignment="1">
      <alignment horizontal="left" indent="1"/>
    </xf>
    <xf numFmtId="0" fontId="47" fillId="0" borderId="0" xfId="0" applyFont="1"/>
    <xf numFmtId="165" fontId="47" fillId="0" borderId="0" xfId="1" applyNumberFormat="1" applyFont="1"/>
    <xf numFmtId="0" fontId="23" fillId="0" borderId="0" xfId="0" applyFont="1"/>
    <xf numFmtId="165" fontId="23" fillId="0" borderId="0" xfId="1" applyNumberFormat="1" applyFont="1"/>
    <xf numFmtId="37" fontId="23" fillId="0" borderId="0" xfId="1" applyNumberFormat="1" applyFont="1"/>
    <xf numFmtId="165" fontId="14" fillId="0" borderId="0" xfId="1" applyNumberFormat="1" applyFont="1"/>
    <xf numFmtId="0" fontId="37" fillId="0" borderId="0" xfId="0" applyFont="1" applyAlignment="1">
      <alignment vertical="center"/>
    </xf>
    <xf numFmtId="10" fontId="20" fillId="0" borderId="0" xfId="2" applyNumberFormat="1" applyFont="1" applyFill="1"/>
    <xf numFmtId="0" fontId="38" fillId="0" borderId="18" xfId="0" applyFont="1" applyBorder="1" applyAlignment="1">
      <alignment horizontal="left"/>
    </xf>
    <xf numFmtId="9" fontId="32" fillId="0" borderId="19" xfId="0" applyNumberFormat="1" applyFont="1" applyBorder="1"/>
    <xf numFmtId="0" fontId="0" fillId="0" borderId="19" xfId="0" applyBorder="1"/>
    <xf numFmtId="0" fontId="38" fillId="0" borderId="20" xfId="0" applyFont="1" applyBorder="1" applyAlignment="1">
      <alignment horizontal="left"/>
    </xf>
    <xf numFmtId="9" fontId="32" fillId="0" borderId="0" xfId="0" applyNumberFormat="1" applyFont="1" applyBorder="1"/>
    <xf numFmtId="0" fontId="38" fillId="0" borderId="21" xfId="0" applyFont="1" applyBorder="1" applyAlignment="1">
      <alignment horizontal="left"/>
    </xf>
    <xf numFmtId="9" fontId="32" fillId="0" borderId="22" xfId="0" applyNumberFormat="1" applyFont="1" applyBorder="1"/>
    <xf numFmtId="0" fontId="0" fillId="0" borderId="22" xfId="0" applyBorder="1"/>
    <xf numFmtId="0" fontId="11" fillId="0" borderId="0" xfId="0" applyFont="1" applyFill="1"/>
    <xf numFmtId="0" fontId="15" fillId="7" borderId="0" xfId="0" applyFont="1" applyFill="1" applyAlignment="1">
      <alignment horizontal="right"/>
    </xf>
    <xf numFmtId="166" fontId="15" fillId="7" borderId="0" xfId="2" applyNumberFormat="1" applyFont="1" applyFill="1" applyAlignment="1">
      <alignment horizontal="right"/>
    </xf>
    <xf numFmtId="0" fontId="6" fillId="0" borderId="0" xfId="0" applyFont="1" applyFill="1" applyBorder="1"/>
    <xf numFmtId="0" fontId="36" fillId="7" borderId="0" xfId="0" applyFont="1" applyFill="1"/>
    <xf numFmtId="38" fontId="28" fillId="0" borderId="23" xfId="1" applyNumberFormat="1" applyFont="1" applyBorder="1"/>
    <xf numFmtId="15" fontId="5" fillId="3" borderId="0" xfId="0" applyNumberFormat="1" applyFont="1" applyFill="1" applyAlignment="1">
      <alignment horizontal="center"/>
    </xf>
    <xf numFmtId="167" fontId="39" fillId="5" borderId="17" xfId="3" applyNumberFormat="1" applyFont="1" applyFill="1" applyBorder="1"/>
    <xf numFmtId="167" fontId="5" fillId="3" borderId="0" xfId="0" applyNumberFormat="1" applyFont="1" applyFill="1"/>
    <xf numFmtId="0" fontId="7" fillId="0" borderId="0" xfId="0" applyFont="1" applyFill="1" applyBorder="1"/>
    <xf numFmtId="0" fontId="13" fillId="0" borderId="0" xfId="0" applyFont="1" applyAlignment="1">
      <alignment horizontal="left" vertical="center" indent="2"/>
    </xf>
    <xf numFmtId="0" fontId="29" fillId="0" borderId="0" xfId="0" applyFont="1" applyAlignment="1">
      <alignment horizontal="left" vertical="center" indent="2"/>
    </xf>
    <xf numFmtId="0" fontId="27" fillId="0" borderId="0" xfId="0" applyFont="1" applyAlignment="1">
      <alignment horizontal="left"/>
    </xf>
    <xf numFmtId="10" fontId="17" fillId="0" borderId="0" xfId="2" applyNumberFormat="1" applyFont="1" applyAlignment="1">
      <alignment horizontal="right"/>
    </xf>
    <xf numFmtId="0" fontId="7" fillId="0" borderId="2" xfId="0" applyFont="1" applyBorder="1" applyAlignment="1">
      <alignment horizontal="left" indent="1"/>
    </xf>
    <xf numFmtId="0" fontId="10" fillId="0" borderId="3" xfId="0" applyFont="1" applyBorder="1" applyAlignment="1">
      <alignment horizontal="left" vertical="center"/>
    </xf>
    <xf numFmtId="0" fontId="0" fillId="0" borderId="3" xfId="0" applyBorder="1" applyAlignment="1">
      <alignment vertical="center"/>
    </xf>
    <xf numFmtId="166" fontId="10" fillId="0" borderId="3" xfId="2" applyNumberFormat="1" applyFont="1" applyBorder="1" applyAlignment="1">
      <alignment vertical="center"/>
    </xf>
    <xf numFmtId="9" fontId="0" fillId="0" borderId="0" xfId="2" applyFont="1" applyAlignment="1">
      <alignment vertical="center"/>
    </xf>
    <xf numFmtId="0" fontId="0" fillId="8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31" fillId="0" borderId="0" xfId="0" applyFont="1" applyAlignment="1">
      <alignment horizontal="center" vertical="center"/>
    </xf>
    <xf numFmtId="0" fontId="51" fillId="7" borderId="0" xfId="0" applyFont="1" applyFill="1" applyBorder="1"/>
    <xf numFmtId="0" fontId="53" fillId="7" borderId="0" xfId="0" applyFont="1" applyFill="1" applyBorder="1"/>
    <xf numFmtId="165" fontId="0" fillId="0" borderId="0" xfId="0" applyNumberFormat="1" applyFill="1"/>
    <xf numFmtId="38" fontId="0" fillId="0" borderId="0" xfId="0" applyNumberFormat="1"/>
    <xf numFmtId="37" fontId="0" fillId="0" borderId="0" xfId="0" applyNumberFormat="1"/>
    <xf numFmtId="165" fontId="14" fillId="0" borderId="0" xfId="0" applyNumberFormat="1" applyFont="1" applyAlignment="1">
      <alignment horizontal="center"/>
    </xf>
    <xf numFmtId="0" fontId="12" fillId="0" borderId="0" xfId="0" applyFont="1" applyFill="1" applyBorder="1" applyAlignment="1">
      <alignment horizontal="left" indent="1"/>
    </xf>
    <xf numFmtId="0" fontId="36" fillId="0" borderId="0" xfId="0" applyFont="1" applyFill="1" applyBorder="1"/>
    <xf numFmtId="165" fontId="12" fillId="0" borderId="0" xfId="1" applyNumberFormat="1" applyFont="1" applyFill="1" applyBorder="1"/>
    <xf numFmtId="0" fontId="42" fillId="9" borderId="0" xfId="0" applyFont="1" applyFill="1"/>
    <xf numFmtId="0" fontId="0" fillId="9" borderId="0" xfId="0" applyFill="1"/>
    <xf numFmtId="165" fontId="0" fillId="9" borderId="0" xfId="1" applyNumberFormat="1" applyFont="1" applyFill="1"/>
    <xf numFmtId="0" fontId="50" fillId="9" borderId="0" xfId="0" applyFont="1" applyFill="1"/>
    <xf numFmtId="0" fontId="49" fillId="9" borderId="0" xfId="0" applyFont="1" applyFill="1"/>
    <xf numFmtId="0" fontId="12" fillId="9" borderId="0" xfId="0" applyFont="1" applyFill="1"/>
    <xf numFmtId="0" fontId="36" fillId="9" borderId="0" xfId="0" applyFont="1" applyFill="1"/>
    <xf numFmtId="9" fontId="12" fillId="9" borderId="0" xfId="2" applyNumberFormat="1" applyFont="1" applyFill="1"/>
    <xf numFmtId="165" fontId="12" fillId="9" borderId="0" xfId="1" applyNumberFormat="1" applyFont="1" applyFill="1"/>
    <xf numFmtId="167" fontId="12" fillId="9" borderId="0" xfId="1" applyNumberFormat="1" applyFont="1" applyFill="1"/>
    <xf numFmtId="167" fontId="12" fillId="9" borderId="0" xfId="1" applyNumberFormat="1" applyFont="1" applyFill="1" applyAlignment="1">
      <alignment horizontal="center"/>
    </xf>
    <xf numFmtId="165" fontId="30" fillId="9" borderId="0" xfId="1" applyNumberFormat="1" applyFont="1" applyFill="1"/>
    <xf numFmtId="0" fontId="12" fillId="9" borderId="2" xfId="0" applyFont="1" applyFill="1" applyBorder="1"/>
    <xf numFmtId="0" fontId="36" fillId="9" borderId="2" xfId="0" applyFont="1" applyFill="1" applyBorder="1"/>
    <xf numFmtId="165" fontId="12" fillId="9" borderId="2" xfId="1" applyNumberFormat="1" applyFont="1" applyFill="1" applyBorder="1"/>
    <xf numFmtId="0" fontId="12" fillId="9" borderId="0" xfId="0" applyFont="1" applyFill="1" applyBorder="1"/>
    <xf numFmtId="0" fontId="36" fillId="9" borderId="0" xfId="0" applyFont="1" applyFill="1" applyBorder="1"/>
    <xf numFmtId="165" fontId="12" fillId="9" borderId="0" xfId="1" applyNumberFormat="1" applyFont="1" applyFill="1" applyBorder="1"/>
    <xf numFmtId="165" fontId="36" fillId="9" borderId="0" xfId="1" applyNumberFormat="1" applyFont="1" applyFill="1"/>
    <xf numFmtId="0" fontId="36" fillId="9" borderId="0" xfId="0" applyFont="1" applyFill="1" applyAlignment="1">
      <alignment horizontal="left" indent="1"/>
    </xf>
    <xf numFmtId="0" fontId="12" fillId="9" borderId="15" xfId="0" applyFont="1" applyFill="1" applyBorder="1" applyAlignment="1">
      <alignment horizontal="left" indent="1"/>
    </xf>
    <xf numFmtId="0" fontId="36" fillId="9" borderId="15" xfId="0" applyFont="1" applyFill="1" applyBorder="1"/>
    <xf numFmtId="165" fontId="12" fillId="9" borderId="15" xfId="1" applyNumberFormat="1" applyFont="1" applyFill="1" applyBorder="1"/>
    <xf numFmtId="165" fontId="7" fillId="9" borderId="0" xfId="1" applyNumberFormat="1" applyFont="1" applyFill="1"/>
    <xf numFmtId="168" fontId="10" fillId="0" borderId="1" xfId="1" applyNumberFormat="1" applyFont="1" applyBorder="1"/>
    <xf numFmtId="0" fontId="54" fillId="0" borderId="0" xfId="0" applyFont="1" applyFill="1"/>
    <xf numFmtId="165" fontId="8" fillId="0" borderId="0" xfId="1" applyNumberFormat="1" applyFont="1" applyFill="1"/>
    <xf numFmtId="165" fontId="8" fillId="0" borderId="0" xfId="0" applyNumberFormat="1" applyFont="1" applyFill="1"/>
    <xf numFmtId="9" fontId="8" fillId="0" borderId="0" xfId="2" applyFont="1" applyFill="1"/>
    <xf numFmtId="165" fontId="5" fillId="0" borderId="0" xfId="0" applyNumberFormat="1" applyFont="1" applyFill="1"/>
    <xf numFmtId="9" fontId="5" fillId="0" borderId="0" xfId="2" applyFont="1" applyFill="1"/>
    <xf numFmtId="9" fontId="5" fillId="0" borderId="0" xfId="2" applyNumberFormat="1" applyFont="1" applyFill="1"/>
    <xf numFmtId="0" fontId="55" fillId="0" borderId="0" xfId="4"/>
    <xf numFmtId="0" fontId="55" fillId="12" borderId="24" xfId="4" applyFill="1" applyBorder="1"/>
    <xf numFmtId="0" fontId="55" fillId="12" borderId="24" xfId="4" applyFill="1" applyBorder="1" applyAlignment="1">
      <alignment horizontal="left"/>
    </xf>
    <xf numFmtId="0" fontId="55" fillId="12" borderId="24" xfId="4" applyFill="1" applyBorder="1" applyAlignment="1" applyProtection="1">
      <alignment horizontal="left"/>
      <protection locked="0"/>
    </xf>
    <xf numFmtId="166" fontId="27" fillId="0" borderId="0" xfId="0" applyNumberFormat="1" applyFont="1" applyFill="1" applyAlignment="1">
      <alignment vertical="center"/>
    </xf>
    <xf numFmtId="166" fontId="14" fillId="0" borderId="0" xfId="2" applyNumberFormat="1" applyFont="1" applyFill="1" applyAlignment="1">
      <alignment vertical="center"/>
    </xf>
    <xf numFmtId="0" fontId="51" fillId="0" borderId="0" xfId="0" applyFont="1" applyFill="1" applyAlignment="1">
      <alignment vertical="center"/>
    </xf>
    <xf numFmtId="0" fontId="55" fillId="12" borderId="42" xfId="4" applyFill="1" applyBorder="1"/>
    <xf numFmtId="0" fontId="55" fillId="12" borderId="38" xfId="4" applyFill="1" applyBorder="1"/>
    <xf numFmtId="0" fontId="55" fillId="12" borderId="39" xfId="4" applyFill="1" applyBorder="1"/>
    <xf numFmtId="0" fontId="55" fillId="12" borderId="30" xfId="4" applyFill="1" applyBorder="1"/>
    <xf numFmtId="0" fontId="55" fillId="12" borderId="35" xfId="4" applyFill="1" applyBorder="1"/>
    <xf numFmtId="0" fontId="55" fillId="12" borderId="36" xfId="4" applyFill="1" applyBorder="1"/>
    <xf numFmtId="0" fontId="56" fillId="0" borderId="29" xfId="4" applyFont="1" applyBorder="1" applyAlignment="1">
      <alignment horizontal="center" vertical="center"/>
    </xf>
    <xf numFmtId="17" fontId="56" fillId="4" borderId="45" xfId="4" applyNumberFormat="1" applyFont="1" applyFill="1" applyBorder="1"/>
    <xf numFmtId="167" fontId="56" fillId="4" borderId="45" xfId="4" applyNumberFormat="1" applyFont="1" applyFill="1" applyBorder="1"/>
    <xf numFmtId="17" fontId="56" fillId="4" borderId="44" xfId="4" applyNumberFormat="1" applyFont="1" applyFill="1" applyBorder="1"/>
    <xf numFmtId="164" fontId="55" fillId="4" borderId="51" xfId="1" applyFont="1" applyFill="1" applyBorder="1"/>
    <xf numFmtId="164" fontId="55" fillId="4" borderId="47" xfId="1" applyFont="1" applyFill="1" applyBorder="1"/>
    <xf numFmtId="164" fontId="55" fillId="4" borderId="48" xfId="1" applyFont="1" applyFill="1" applyBorder="1"/>
    <xf numFmtId="167" fontId="56" fillId="4" borderId="52" xfId="4" applyNumberFormat="1" applyFont="1" applyFill="1" applyBorder="1"/>
    <xf numFmtId="0" fontId="39" fillId="0" borderId="0" xfId="0" applyFont="1" applyBorder="1"/>
    <xf numFmtId="165" fontId="0" fillId="0" borderId="0" xfId="1" applyNumberFormat="1" applyFont="1" applyBorder="1"/>
    <xf numFmtId="165" fontId="7" fillId="0" borderId="0" xfId="1" applyNumberFormat="1" applyFont="1" applyFill="1" applyBorder="1"/>
    <xf numFmtId="17" fontId="7" fillId="0" borderId="0" xfId="0" applyNumberFormat="1" applyFont="1" applyFill="1" applyBorder="1"/>
    <xf numFmtId="0" fontId="0" fillId="0" borderId="0" xfId="0" applyFill="1" applyBorder="1"/>
    <xf numFmtId="165" fontId="0" fillId="0" borderId="0" xfId="1" applyNumberFormat="1" applyFont="1" applyFill="1" applyBorder="1"/>
    <xf numFmtId="0" fontId="39" fillId="0" borderId="0" xfId="0" applyFont="1" applyFill="1" applyBorder="1"/>
    <xf numFmtId="43" fontId="0" fillId="0" borderId="0" xfId="0" applyNumberFormat="1" applyFill="1"/>
    <xf numFmtId="0" fontId="55" fillId="12" borderId="42" xfId="4" applyFont="1" applyFill="1" applyBorder="1"/>
    <xf numFmtId="0" fontId="55" fillId="12" borderId="24" xfId="4" applyFont="1" applyFill="1" applyBorder="1" applyAlignment="1" applyProtection="1">
      <alignment horizontal="left"/>
      <protection locked="0"/>
    </xf>
    <xf numFmtId="0" fontId="55" fillId="12" borderId="24" xfId="4" applyFont="1" applyFill="1" applyBorder="1" applyAlignment="1" applyProtection="1">
      <alignment horizontal="left" wrapText="1"/>
      <protection locked="0"/>
    </xf>
    <xf numFmtId="0" fontId="55" fillId="12" borderId="29" xfId="4" applyFill="1" applyBorder="1"/>
    <xf numFmtId="0" fontId="55" fillId="12" borderId="53" xfId="4" applyFont="1" applyFill="1" applyBorder="1" applyAlignment="1" applyProtection="1">
      <alignment horizontal="left"/>
      <protection locked="0"/>
    </xf>
    <xf numFmtId="0" fontId="55" fillId="12" borderId="53" xfId="4" applyFont="1" applyFill="1" applyBorder="1" applyAlignment="1" applyProtection="1">
      <alignment horizontal="left" wrapText="1"/>
      <protection locked="0"/>
    </xf>
    <xf numFmtId="0" fontId="55" fillId="12" borderId="36" xfId="4" applyFont="1" applyFill="1" applyBorder="1" applyAlignment="1" applyProtection="1">
      <alignment horizontal="left"/>
      <protection locked="0"/>
    </xf>
    <xf numFmtId="0" fontId="55" fillId="12" borderId="64" xfId="4" applyFont="1" applyFill="1" applyBorder="1" applyAlignment="1" applyProtection="1">
      <alignment horizontal="left"/>
      <protection locked="0"/>
    </xf>
    <xf numFmtId="0" fontId="55" fillId="12" borderId="65" xfId="4" applyFont="1" applyFill="1" applyBorder="1" applyAlignment="1" applyProtection="1">
      <alignment horizontal="left" wrapText="1"/>
      <protection locked="0"/>
    </xf>
    <xf numFmtId="0" fontId="55" fillId="12" borderId="65" xfId="4" applyFont="1" applyFill="1" applyBorder="1" applyAlignment="1" applyProtection="1">
      <alignment horizontal="left"/>
      <protection locked="0"/>
    </xf>
    <xf numFmtId="0" fontId="7" fillId="4" borderId="41" xfId="0" applyFont="1" applyFill="1" applyBorder="1" applyAlignment="1" applyProtection="1">
      <alignment horizontal="center"/>
      <protection locked="0"/>
    </xf>
    <xf numFmtId="0" fontId="7" fillId="4" borderId="54" xfId="0" applyFont="1" applyFill="1" applyBorder="1" applyAlignment="1" applyProtection="1">
      <alignment horizontal="center"/>
      <protection locked="0"/>
    </xf>
    <xf numFmtId="0" fontId="7" fillId="4" borderId="66" xfId="0" applyFont="1" applyFill="1" applyBorder="1" applyAlignment="1" applyProtection="1">
      <alignment horizontal="center"/>
      <protection locked="0"/>
    </xf>
    <xf numFmtId="0" fontId="55" fillId="12" borderId="42" xfId="4" applyFont="1" applyFill="1" applyBorder="1" applyAlignment="1" applyProtection="1">
      <alignment horizontal="left"/>
      <protection locked="0"/>
    </xf>
    <xf numFmtId="0" fontId="55" fillId="12" borderId="35" xfId="4" applyFont="1" applyFill="1" applyBorder="1"/>
    <xf numFmtId="0" fontId="55" fillId="12" borderId="35" xfId="4" applyFont="1" applyFill="1" applyBorder="1" applyAlignment="1" applyProtection="1">
      <alignment horizontal="left" wrapText="1"/>
      <protection locked="0"/>
    </xf>
    <xf numFmtId="0" fontId="55" fillId="12" borderId="35" xfId="4" applyFont="1" applyFill="1" applyBorder="1" applyAlignment="1" applyProtection="1">
      <alignment horizontal="left"/>
      <protection locked="0"/>
    </xf>
    <xf numFmtId="164" fontId="55" fillId="0" borderId="0" xfId="1" applyFont="1"/>
    <xf numFmtId="0" fontId="56" fillId="0" borderId="0" xfId="4" applyFont="1"/>
    <xf numFmtId="165" fontId="13" fillId="0" borderId="3" xfId="1" applyNumberFormat="1" applyFont="1" applyBorder="1"/>
    <xf numFmtId="0" fontId="0" fillId="0" borderId="24" xfId="0" applyBorder="1" applyProtection="1"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56" fillId="0" borderId="78" xfId="4" applyFont="1" applyBorder="1" applyAlignment="1">
      <alignment horizontal="center" vertical="center"/>
    </xf>
    <xf numFmtId="0" fontId="55" fillId="12" borderId="29" xfId="4" applyFill="1" applyBorder="1" applyAlignment="1">
      <alignment horizontal="left"/>
    </xf>
    <xf numFmtId="0" fontId="55" fillId="12" borderId="34" xfId="4" applyFill="1" applyBorder="1" applyAlignment="1">
      <alignment horizontal="left"/>
    </xf>
    <xf numFmtId="0" fontId="55" fillId="12" borderId="51" xfId="4" applyFill="1" applyBorder="1"/>
    <xf numFmtId="0" fontId="55" fillId="12" borderId="47" xfId="4" applyFill="1" applyBorder="1"/>
    <xf numFmtId="0" fontId="55" fillId="12" borderId="48" xfId="4" applyFill="1" applyBorder="1"/>
    <xf numFmtId="0" fontId="0" fillId="0" borderId="0" xfId="0" applyFill="1" applyBorder="1" applyAlignment="1" applyProtection="1">
      <alignment horizontal="left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35" xfId="0" applyBorder="1" applyProtection="1">
      <protection locked="0"/>
    </xf>
    <xf numFmtId="0" fontId="55" fillId="0" borderId="58" xfId="4" applyBorder="1"/>
    <xf numFmtId="0" fontId="56" fillId="0" borderId="58" xfId="4" applyFont="1" applyBorder="1"/>
    <xf numFmtId="0" fontId="56" fillId="0" borderId="59" xfId="4" applyFont="1" applyBorder="1"/>
    <xf numFmtId="0" fontId="56" fillId="0" borderId="57" xfId="4" applyFont="1" applyBorder="1" applyAlignment="1">
      <alignment horizontal="center"/>
    </xf>
    <xf numFmtId="0" fontId="55" fillId="0" borderId="0" xfId="4" applyProtection="1">
      <protection locked="0"/>
    </xf>
    <xf numFmtId="0" fontId="56" fillId="4" borderId="44" xfId="4" applyFont="1" applyFill="1" applyBorder="1" applyAlignment="1" applyProtection="1">
      <alignment horizontal="center"/>
      <protection locked="0"/>
    </xf>
    <xf numFmtId="0" fontId="56" fillId="4" borderId="42" xfId="4" applyFont="1" applyFill="1" applyBorder="1" applyProtection="1">
      <protection locked="0"/>
    </xf>
    <xf numFmtId="0" fontId="56" fillId="4" borderId="26" xfId="4" applyFont="1" applyFill="1" applyBorder="1" applyProtection="1">
      <protection locked="0"/>
    </xf>
    <xf numFmtId="0" fontId="56" fillId="4" borderId="75" xfId="4" applyFont="1" applyFill="1" applyBorder="1" applyProtection="1">
      <protection locked="0"/>
    </xf>
    <xf numFmtId="0" fontId="56" fillId="0" borderId="42" xfId="4" applyFont="1" applyBorder="1" applyAlignment="1" applyProtection="1">
      <alignment horizontal="center"/>
      <protection locked="0"/>
    </xf>
    <xf numFmtId="0" fontId="55" fillId="0" borderId="42" xfId="4" applyBorder="1" applyAlignment="1" applyProtection="1">
      <alignment horizontal="center"/>
      <protection locked="0"/>
    </xf>
    <xf numFmtId="0" fontId="55" fillId="0" borderId="33" xfId="4" applyBorder="1" applyAlignment="1" applyProtection="1">
      <alignment horizontal="center"/>
      <protection locked="0"/>
    </xf>
    <xf numFmtId="0" fontId="55" fillId="0" borderId="62" xfId="4" applyBorder="1" applyAlignment="1" applyProtection="1">
      <alignment horizontal="center"/>
      <protection locked="0"/>
    </xf>
    <xf numFmtId="0" fontId="55" fillId="0" borderId="42" xfId="4" applyBorder="1" applyProtection="1">
      <protection locked="0"/>
    </xf>
    <xf numFmtId="0" fontId="55" fillId="0" borderId="64" xfId="4" applyBorder="1" applyProtection="1">
      <protection locked="0"/>
    </xf>
    <xf numFmtId="0" fontId="55" fillId="0" borderId="24" xfId="4" applyBorder="1" applyProtection="1">
      <protection locked="0"/>
    </xf>
    <xf numFmtId="0" fontId="55" fillId="0" borderId="30" xfId="4" applyBorder="1" applyProtection="1">
      <protection locked="0"/>
    </xf>
    <xf numFmtId="0" fontId="55" fillId="0" borderId="29" xfId="4" applyBorder="1" applyProtection="1">
      <protection locked="0"/>
    </xf>
    <xf numFmtId="0" fontId="55" fillId="0" borderId="24" xfId="4" applyBorder="1" applyAlignment="1" applyProtection="1">
      <alignment horizontal="center"/>
      <protection locked="0"/>
    </xf>
    <xf numFmtId="0" fontId="55" fillId="0" borderId="29" xfId="4" applyBorder="1" applyAlignment="1" applyProtection="1">
      <alignment horizontal="center"/>
      <protection locked="0"/>
    </xf>
    <xf numFmtId="0" fontId="55" fillId="0" borderId="30" xfId="4" applyBorder="1" applyAlignment="1" applyProtection="1">
      <alignment horizontal="center"/>
      <protection locked="0"/>
    </xf>
    <xf numFmtId="0" fontId="55" fillId="0" borderId="53" xfId="4" applyBorder="1" applyProtection="1">
      <protection locked="0"/>
    </xf>
    <xf numFmtId="0" fontId="56" fillId="0" borderId="50" xfId="4" applyFont="1" applyBorder="1" applyAlignment="1" applyProtection="1">
      <alignment horizontal="center"/>
      <protection locked="0"/>
    </xf>
    <xf numFmtId="0" fontId="55" fillId="0" borderId="50" xfId="4" applyBorder="1" applyAlignment="1" applyProtection="1">
      <alignment horizontal="center"/>
      <protection locked="0"/>
    </xf>
    <xf numFmtId="0" fontId="55" fillId="0" borderId="31" xfId="4" applyBorder="1" applyAlignment="1" applyProtection="1">
      <alignment horizontal="center"/>
      <protection locked="0"/>
    </xf>
    <xf numFmtId="0" fontId="55" fillId="0" borderId="76" xfId="4" applyBorder="1" applyAlignment="1" applyProtection="1">
      <alignment horizontal="center"/>
      <protection locked="0"/>
    </xf>
    <xf numFmtId="0" fontId="55" fillId="0" borderId="50" xfId="4" applyBorder="1" applyProtection="1">
      <protection locked="0"/>
    </xf>
    <xf numFmtId="0" fontId="55" fillId="0" borderId="74" xfId="4" applyBorder="1" applyProtection="1">
      <protection locked="0"/>
    </xf>
    <xf numFmtId="0" fontId="55" fillId="0" borderId="76" xfId="4" applyBorder="1" applyProtection="1">
      <protection locked="0"/>
    </xf>
    <xf numFmtId="0" fontId="55" fillId="0" borderId="31" xfId="4" applyBorder="1" applyProtection="1">
      <protection locked="0"/>
    </xf>
    <xf numFmtId="0" fontId="56" fillId="4" borderId="47" xfId="4" applyFont="1" applyFill="1" applyBorder="1" applyProtection="1">
      <protection locked="0"/>
    </xf>
    <xf numFmtId="0" fontId="56" fillId="4" borderId="48" xfId="4" applyFont="1" applyFill="1" applyBorder="1" applyProtection="1">
      <protection locked="0"/>
    </xf>
    <xf numFmtId="0" fontId="55" fillId="10" borderId="62" xfId="4" applyFill="1" applyBorder="1" applyProtection="1">
      <protection locked="0"/>
    </xf>
    <xf numFmtId="0" fontId="55" fillId="0" borderId="73" xfId="4" applyBorder="1" applyProtection="1">
      <protection locked="0"/>
    </xf>
    <xf numFmtId="0" fontId="55" fillId="0" borderId="62" xfId="4" applyBorder="1" applyProtection="1">
      <protection locked="0"/>
    </xf>
    <xf numFmtId="0" fontId="55" fillId="10" borderId="30" xfId="4" applyFill="1" applyBorder="1" applyProtection="1">
      <protection locked="0"/>
    </xf>
    <xf numFmtId="0" fontId="55" fillId="0" borderId="25" xfId="4" applyBorder="1" applyAlignment="1" applyProtection="1">
      <alignment horizontal="center"/>
      <protection locked="0"/>
    </xf>
    <xf numFmtId="0" fontId="55" fillId="0" borderId="53" xfId="4" applyBorder="1" applyAlignment="1" applyProtection="1">
      <alignment horizontal="center"/>
      <protection locked="0"/>
    </xf>
    <xf numFmtId="0" fontId="55" fillId="0" borderId="25" xfId="4" applyBorder="1" applyProtection="1">
      <protection locked="0"/>
    </xf>
    <xf numFmtId="9" fontId="55" fillId="0" borderId="29" xfId="4" applyNumberFormat="1" applyBorder="1" applyAlignment="1" applyProtection="1">
      <alignment horizontal="center"/>
      <protection locked="0"/>
    </xf>
    <xf numFmtId="9" fontId="55" fillId="0" borderId="24" xfId="4" applyNumberFormat="1" applyBorder="1" applyAlignment="1" applyProtection="1">
      <alignment horizontal="center"/>
      <protection locked="0"/>
    </xf>
    <xf numFmtId="9" fontId="55" fillId="0" borderId="25" xfId="2" applyFont="1" applyBorder="1" applyAlignment="1" applyProtection="1">
      <alignment horizontal="center"/>
      <protection locked="0"/>
    </xf>
    <xf numFmtId="9" fontId="55" fillId="0" borderId="24" xfId="2" applyFont="1" applyBorder="1" applyAlignment="1" applyProtection="1">
      <alignment horizontal="center"/>
      <protection locked="0"/>
    </xf>
    <xf numFmtId="9" fontId="55" fillId="0" borderId="53" xfId="2" applyFont="1" applyBorder="1" applyAlignment="1" applyProtection="1">
      <alignment horizontal="center"/>
      <protection locked="0"/>
    </xf>
    <xf numFmtId="9" fontId="55" fillId="0" borderId="24" xfId="2" applyFont="1" applyBorder="1" applyProtection="1">
      <protection locked="0"/>
    </xf>
    <xf numFmtId="9" fontId="55" fillId="0" borderId="30" xfId="2" applyFont="1" applyBorder="1" applyProtection="1">
      <protection locked="0"/>
    </xf>
    <xf numFmtId="9" fontId="55" fillId="0" borderId="25" xfId="2" applyFont="1" applyBorder="1" applyProtection="1">
      <protection locked="0"/>
    </xf>
    <xf numFmtId="0" fontId="56" fillId="0" borderId="0" xfId="4" applyFont="1" applyBorder="1" applyAlignment="1" applyProtection="1">
      <alignment horizontal="center"/>
      <protection locked="0"/>
    </xf>
    <xf numFmtId="0" fontId="55" fillId="0" borderId="0" xfId="4" applyFill="1" applyBorder="1" applyAlignment="1" applyProtection="1">
      <alignment horizontal="center"/>
      <protection locked="0"/>
    </xf>
    <xf numFmtId="0" fontId="55" fillId="0" borderId="0" xfId="4" applyFill="1" applyBorder="1" applyProtection="1">
      <protection locked="0"/>
    </xf>
    <xf numFmtId="0" fontId="55" fillId="0" borderId="0" xfId="4" applyFill="1" applyProtection="1">
      <protection locked="0"/>
    </xf>
    <xf numFmtId="0" fontId="56" fillId="4" borderId="46" xfId="4" applyFont="1" applyFill="1" applyBorder="1" applyAlignment="1" applyProtection="1">
      <alignment horizontal="center" wrapText="1"/>
      <protection locked="0"/>
    </xf>
    <xf numFmtId="0" fontId="56" fillId="0" borderId="0" xfId="4" applyFont="1" applyFill="1" applyBorder="1" applyAlignment="1" applyProtection="1">
      <protection locked="0"/>
    </xf>
    <xf numFmtId="0" fontId="0" fillId="0" borderId="0" xfId="0" applyProtection="1">
      <protection locked="0"/>
    </xf>
    <xf numFmtId="0" fontId="55" fillId="0" borderId="0" xfId="4" applyBorder="1" applyProtection="1"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33" xfId="0" applyFont="1" applyBorder="1" applyAlignment="1" applyProtection="1">
      <alignment horizontal="center"/>
      <protection locked="0"/>
    </xf>
    <xf numFmtId="0" fontId="7" fillId="0" borderId="42" xfId="0" applyFont="1" applyBorder="1" applyProtection="1">
      <protection locked="0"/>
    </xf>
    <xf numFmtId="0" fontId="7" fillId="0" borderId="62" xfId="0" applyFont="1" applyBorder="1" applyProtection="1">
      <protection locked="0"/>
    </xf>
    <xf numFmtId="0" fontId="0" fillId="0" borderId="29" xfId="0" applyBorder="1" applyAlignment="1" applyProtection="1">
      <alignment horizontal="center"/>
      <protection locked="0"/>
    </xf>
    <xf numFmtId="0" fontId="0" fillId="0" borderId="34" xfId="0" applyBorder="1" applyAlignment="1" applyProtection="1">
      <alignment horizontal="center"/>
      <protection locked="0"/>
    </xf>
    <xf numFmtId="0" fontId="0" fillId="0" borderId="36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56" fillId="0" borderId="0" xfId="0" applyFont="1" applyBorder="1" applyProtection="1">
      <protection locked="0"/>
    </xf>
    <xf numFmtId="0" fontId="56" fillId="0" borderId="0" xfId="4" applyFont="1" applyBorder="1" applyProtection="1"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55" fillId="0" borderId="0" xfId="4" applyFill="1" applyBorder="1" applyAlignment="1" applyProtection="1">
      <alignment horizontal="left"/>
      <protection locked="0"/>
    </xf>
    <xf numFmtId="0" fontId="55" fillId="0" borderId="0" xfId="4" applyBorder="1" applyAlignment="1" applyProtection="1">
      <alignment horizontal="left"/>
      <protection locked="0"/>
    </xf>
    <xf numFmtId="0" fontId="55" fillId="0" borderId="34" xfId="4" applyBorder="1" applyProtection="1">
      <protection locked="0"/>
    </xf>
    <xf numFmtId="167" fontId="56" fillId="4" borderId="43" xfId="4" applyNumberFormat="1" applyFont="1" applyFill="1" applyBorder="1" applyProtection="1">
      <protection locked="0"/>
    </xf>
    <xf numFmtId="17" fontId="56" fillId="4" borderId="45" xfId="4" applyNumberFormat="1" applyFont="1" applyFill="1" applyBorder="1" applyProtection="1">
      <protection locked="0"/>
    </xf>
    <xf numFmtId="0" fontId="55" fillId="12" borderId="38" xfId="4" applyFill="1" applyBorder="1" applyProtection="1">
      <protection locked="0"/>
    </xf>
    <xf numFmtId="9" fontId="55" fillId="12" borderId="38" xfId="4" applyNumberFormat="1" applyFill="1" applyBorder="1" applyProtection="1">
      <protection locked="0"/>
    </xf>
    <xf numFmtId="0" fontId="55" fillId="12" borderId="39" xfId="4" applyFill="1" applyBorder="1" applyProtection="1">
      <protection locked="0"/>
    </xf>
    <xf numFmtId="0" fontId="55" fillId="12" borderId="24" xfId="4" applyFill="1" applyBorder="1" applyProtection="1">
      <protection locked="0"/>
    </xf>
    <xf numFmtId="9" fontId="55" fillId="12" borderId="24" xfId="4" applyNumberFormat="1" applyFill="1" applyBorder="1" applyProtection="1">
      <protection locked="0"/>
    </xf>
    <xf numFmtId="0" fontId="55" fillId="12" borderId="30" xfId="4" applyFill="1" applyBorder="1" applyProtection="1">
      <protection locked="0"/>
    </xf>
    <xf numFmtId="9" fontId="55" fillId="12" borderId="30" xfId="4" applyNumberFormat="1" applyFill="1" applyBorder="1" applyProtection="1">
      <protection locked="0"/>
    </xf>
    <xf numFmtId="9" fontId="55" fillId="12" borderId="24" xfId="2" applyFont="1" applyFill="1" applyBorder="1" applyProtection="1">
      <protection locked="0"/>
    </xf>
    <xf numFmtId="9" fontId="55" fillId="12" borderId="30" xfId="2" applyFont="1" applyFill="1" applyBorder="1" applyProtection="1">
      <protection locked="0"/>
    </xf>
    <xf numFmtId="0" fontId="55" fillId="12" borderId="35" xfId="4" applyFill="1" applyBorder="1" applyProtection="1">
      <protection locked="0"/>
    </xf>
    <xf numFmtId="9" fontId="55" fillId="12" borderId="35" xfId="2" applyFont="1" applyFill="1" applyBorder="1" applyProtection="1">
      <protection locked="0"/>
    </xf>
    <xf numFmtId="9" fontId="55" fillId="12" borderId="36" xfId="2" applyFont="1" applyFill="1" applyBorder="1" applyProtection="1">
      <protection locked="0"/>
    </xf>
    <xf numFmtId="9" fontId="55" fillId="12" borderId="42" xfId="2" applyFont="1" applyFill="1" applyBorder="1" applyProtection="1">
      <protection locked="0"/>
    </xf>
    <xf numFmtId="0" fontId="56" fillId="0" borderId="0" xfId="4" applyFont="1" applyBorder="1" applyAlignment="1" applyProtection="1">
      <alignment horizontal="center" vertical="center"/>
      <protection locked="0"/>
    </xf>
    <xf numFmtId="9" fontId="55" fillId="0" borderId="0" xfId="2" applyFont="1" applyFill="1" applyBorder="1" applyProtection="1">
      <protection locked="0"/>
    </xf>
    <xf numFmtId="167" fontId="56" fillId="0" borderId="0" xfId="4" applyNumberFormat="1" applyFont="1" applyFill="1" applyBorder="1" applyProtection="1">
      <protection locked="0"/>
    </xf>
    <xf numFmtId="17" fontId="56" fillId="0" borderId="0" xfId="4" applyNumberFormat="1" applyFont="1" applyFill="1" applyBorder="1" applyProtection="1">
      <protection locked="0"/>
    </xf>
    <xf numFmtId="0" fontId="56" fillId="4" borderId="46" xfId="4" applyFont="1" applyFill="1" applyBorder="1" applyProtection="1">
      <protection locked="0"/>
    </xf>
    <xf numFmtId="0" fontId="56" fillId="4" borderId="63" xfId="4" applyFont="1" applyFill="1" applyBorder="1" applyProtection="1">
      <protection locked="0"/>
    </xf>
    <xf numFmtId="0" fontId="55" fillId="12" borderId="64" xfId="4" applyFont="1" applyFill="1" applyBorder="1" applyProtection="1">
      <protection locked="0"/>
    </xf>
    <xf numFmtId="0" fontId="55" fillId="12" borderId="33" xfId="4" applyFill="1" applyBorder="1" applyProtection="1">
      <protection locked="0"/>
    </xf>
    <xf numFmtId="0" fontId="55" fillId="12" borderId="42" xfId="4" applyFill="1" applyBorder="1" applyProtection="1">
      <protection locked="0"/>
    </xf>
    <xf numFmtId="0" fontId="55" fillId="12" borderId="62" xfId="4" applyFill="1" applyBorder="1" applyProtection="1">
      <protection locked="0"/>
    </xf>
    <xf numFmtId="0" fontId="55" fillId="12" borderId="64" xfId="4" applyFill="1" applyBorder="1" applyProtection="1">
      <protection locked="0"/>
    </xf>
    <xf numFmtId="9" fontId="55" fillId="12" borderId="68" xfId="4" applyNumberFormat="1" applyFill="1" applyBorder="1" applyProtection="1">
      <protection locked="0"/>
    </xf>
    <xf numFmtId="0" fontId="55" fillId="12" borderId="53" xfId="4" applyFont="1" applyFill="1" applyBorder="1" applyProtection="1">
      <protection locked="0"/>
    </xf>
    <xf numFmtId="0" fontId="55" fillId="12" borderId="29" xfId="4" applyFill="1" applyBorder="1" applyProtection="1">
      <protection locked="0"/>
    </xf>
    <xf numFmtId="0" fontId="55" fillId="12" borderId="53" xfId="4" applyFill="1" applyBorder="1" applyProtection="1">
      <protection locked="0"/>
    </xf>
    <xf numFmtId="9" fontId="55" fillId="12" borderId="69" xfId="4" applyNumberFormat="1" applyFill="1" applyBorder="1" applyProtection="1">
      <protection locked="0"/>
    </xf>
    <xf numFmtId="0" fontId="55" fillId="12" borderId="65" xfId="4" applyFont="1" applyFill="1" applyBorder="1" applyProtection="1">
      <protection locked="0"/>
    </xf>
    <xf numFmtId="0" fontId="55" fillId="12" borderId="34" xfId="4" applyFill="1" applyBorder="1" applyProtection="1">
      <protection locked="0"/>
    </xf>
    <xf numFmtId="0" fontId="55" fillId="12" borderId="36" xfId="4" applyFill="1" applyBorder="1" applyProtection="1">
      <protection locked="0"/>
    </xf>
    <xf numFmtId="0" fontId="55" fillId="12" borderId="65" xfId="4" applyFill="1" applyBorder="1" applyProtection="1">
      <protection locked="0"/>
    </xf>
    <xf numFmtId="9" fontId="55" fillId="12" borderId="40" xfId="4" applyNumberFormat="1" applyFill="1" applyBorder="1" applyProtection="1">
      <protection locked="0"/>
    </xf>
    <xf numFmtId="167" fontId="56" fillId="4" borderId="45" xfId="4" applyNumberFormat="1" applyFont="1" applyFill="1" applyBorder="1" applyProtection="1">
      <protection locked="0"/>
    </xf>
    <xf numFmtId="17" fontId="56" fillId="4" borderId="44" xfId="4" applyNumberFormat="1" applyFont="1" applyFill="1" applyBorder="1" applyProtection="1">
      <protection locked="0"/>
    </xf>
    <xf numFmtId="9" fontId="55" fillId="12" borderId="38" xfId="2" applyFont="1" applyFill="1" applyBorder="1" applyProtection="1">
      <protection locked="0"/>
    </xf>
    <xf numFmtId="9" fontId="55" fillId="12" borderId="39" xfId="2" applyFont="1" applyFill="1" applyBorder="1" applyProtection="1">
      <protection locked="0"/>
    </xf>
    <xf numFmtId="0" fontId="56" fillId="0" borderId="29" xfId="4" applyFont="1" applyBorder="1" applyAlignment="1" applyProtection="1">
      <alignment horizontal="center" vertical="center"/>
      <protection locked="0"/>
    </xf>
    <xf numFmtId="0" fontId="56" fillId="4" borderId="41" xfId="4" applyFont="1" applyFill="1" applyBorder="1" applyProtection="1">
      <protection locked="0"/>
    </xf>
    <xf numFmtId="0" fontId="56" fillId="4" borderId="54" xfId="4" applyFont="1" applyFill="1" applyBorder="1" applyProtection="1">
      <protection locked="0"/>
    </xf>
    <xf numFmtId="0" fontId="56" fillId="4" borderId="66" xfId="4" applyFont="1" applyFill="1" applyBorder="1" applyProtection="1">
      <protection locked="0"/>
    </xf>
    <xf numFmtId="0" fontId="56" fillId="4" borderId="55" xfId="4" applyFont="1" applyFill="1" applyBorder="1" applyProtection="1">
      <protection locked="0"/>
    </xf>
    <xf numFmtId="0" fontId="55" fillId="12" borderId="27" xfId="4" applyFill="1" applyBorder="1" applyProtection="1">
      <protection locked="0"/>
    </xf>
    <xf numFmtId="0" fontId="55" fillId="12" borderId="29" xfId="4" applyFill="1" applyBorder="1" applyAlignment="1" applyProtection="1">
      <alignment horizontal="left"/>
      <protection locked="0"/>
    </xf>
    <xf numFmtId="0" fontId="55" fillId="0" borderId="35" xfId="4" applyBorder="1" applyProtection="1">
      <protection locked="0"/>
    </xf>
    <xf numFmtId="167" fontId="56" fillId="4" borderId="84" xfId="4" applyNumberFormat="1" applyFont="1" applyFill="1" applyBorder="1" applyProtection="1">
      <protection locked="0"/>
    </xf>
    <xf numFmtId="17" fontId="56" fillId="4" borderId="26" xfId="4" applyNumberFormat="1" applyFont="1" applyFill="1" applyBorder="1" applyProtection="1">
      <protection locked="0"/>
    </xf>
    <xf numFmtId="0" fontId="56" fillId="0" borderId="27" xfId="4" applyFont="1" applyBorder="1" applyAlignment="1" applyProtection="1">
      <alignment horizontal="center" vertical="center"/>
      <protection locked="0"/>
    </xf>
    <xf numFmtId="9" fontId="55" fillId="12" borderId="39" xfId="4" applyNumberFormat="1" applyFill="1" applyBorder="1" applyProtection="1">
      <protection locked="0"/>
    </xf>
    <xf numFmtId="0" fontId="56" fillId="0" borderId="31" xfId="4" applyFont="1" applyBorder="1" applyAlignment="1" applyProtection="1">
      <alignment horizontal="center" vertical="center"/>
      <protection locked="0"/>
    </xf>
    <xf numFmtId="0" fontId="56" fillId="0" borderId="34" xfId="4" applyFont="1" applyBorder="1" applyAlignment="1" applyProtection="1">
      <alignment horizontal="center" vertical="center"/>
      <protection locked="0"/>
    </xf>
    <xf numFmtId="9" fontId="55" fillId="12" borderId="35" xfId="4" applyNumberFormat="1" applyFill="1" applyBorder="1" applyProtection="1">
      <protection locked="0"/>
    </xf>
    <xf numFmtId="9" fontId="55" fillId="12" borderId="36" xfId="4" applyNumberFormat="1" applyFill="1" applyBorder="1" applyProtection="1">
      <protection locked="0"/>
    </xf>
    <xf numFmtId="0" fontId="55" fillId="12" borderId="82" xfId="4" applyFill="1" applyBorder="1" applyProtection="1">
      <protection locked="0"/>
    </xf>
    <xf numFmtId="0" fontId="55" fillId="12" borderId="83" xfId="4" applyFill="1" applyBorder="1" applyProtection="1">
      <protection locked="0"/>
    </xf>
    <xf numFmtId="0" fontId="55" fillId="12" borderId="25" xfId="4" applyFill="1" applyBorder="1" applyProtection="1">
      <protection locked="0"/>
    </xf>
    <xf numFmtId="0" fontId="55" fillId="12" borderId="25" xfId="4" applyFill="1" applyBorder="1" applyAlignment="1" applyProtection="1">
      <alignment horizontal="left"/>
      <protection locked="0"/>
    </xf>
    <xf numFmtId="0" fontId="56" fillId="0" borderId="78" xfId="4" applyFont="1" applyBorder="1" applyAlignment="1" applyProtection="1">
      <alignment horizontal="center" vertical="center"/>
      <protection locked="0"/>
    </xf>
    <xf numFmtId="0" fontId="55" fillId="12" borderId="77" xfId="4" applyFill="1" applyBorder="1" applyProtection="1">
      <protection locked="0"/>
    </xf>
    <xf numFmtId="0" fontId="55" fillId="13" borderId="64" xfId="4" applyFill="1" applyBorder="1" applyAlignment="1" applyProtection="1">
      <alignment horizontal="center"/>
    </xf>
    <xf numFmtId="0" fontId="55" fillId="13" borderId="53" xfId="4" applyFill="1" applyBorder="1" applyAlignment="1" applyProtection="1">
      <alignment horizontal="center"/>
    </xf>
    <xf numFmtId="0" fontId="55" fillId="13" borderId="74" xfId="4" applyFill="1" applyBorder="1" applyAlignment="1" applyProtection="1">
      <alignment horizontal="center"/>
    </xf>
    <xf numFmtId="0" fontId="56" fillId="4" borderId="63" xfId="4" applyFont="1" applyFill="1" applyBorder="1" applyAlignment="1" applyProtection="1">
      <alignment horizontal="center"/>
    </xf>
    <xf numFmtId="0" fontId="55" fillId="13" borderId="72" xfId="4" applyFill="1" applyBorder="1" applyAlignment="1" applyProtection="1">
      <alignment horizontal="center"/>
    </xf>
    <xf numFmtId="0" fontId="55" fillId="13" borderId="16" xfId="4" applyFill="1" applyBorder="1" applyAlignment="1" applyProtection="1">
      <alignment horizontal="center"/>
    </xf>
    <xf numFmtId="0" fontId="55" fillId="13" borderId="2" xfId="4" applyFill="1" applyBorder="1" applyAlignment="1" applyProtection="1">
      <alignment horizontal="center"/>
    </xf>
    <xf numFmtId="0" fontId="56" fillId="4" borderId="59" xfId="4" applyFont="1" applyFill="1" applyBorder="1" applyAlignment="1" applyProtection="1">
      <alignment horizontal="center"/>
    </xf>
    <xf numFmtId="0" fontId="56" fillId="4" borderId="57" xfId="4" applyFont="1" applyFill="1" applyBorder="1" applyAlignment="1" applyProtection="1">
      <alignment horizontal="center"/>
    </xf>
    <xf numFmtId="0" fontId="56" fillId="4" borderId="58" xfId="4" applyFont="1" applyFill="1" applyBorder="1" applyAlignment="1" applyProtection="1">
      <alignment horizontal="center"/>
    </xf>
    <xf numFmtId="0" fontId="56" fillId="4" borderId="51" xfId="4" applyFont="1" applyFill="1" applyBorder="1" applyProtection="1"/>
    <xf numFmtId="0" fontId="56" fillId="4" borderId="47" xfId="4" applyFont="1" applyFill="1" applyBorder="1" applyProtection="1"/>
    <xf numFmtId="0" fontId="56" fillId="4" borderId="48" xfId="4" applyFont="1" applyFill="1" applyBorder="1" applyProtection="1"/>
    <xf numFmtId="0" fontId="55" fillId="13" borderId="29" xfId="4" applyFill="1" applyBorder="1" applyAlignment="1" applyProtection="1">
      <alignment horizontal="center"/>
    </xf>
    <xf numFmtId="0" fontId="55" fillId="13" borderId="24" xfId="4" applyFill="1" applyBorder="1" applyAlignment="1" applyProtection="1">
      <alignment horizontal="center"/>
    </xf>
    <xf numFmtId="0" fontId="55" fillId="10" borderId="30" xfId="4" applyFill="1" applyBorder="1" applyProtection="1"/>
    <xf numFmtId="0" fontId="55" fillId="13" borderId="25" xfId="4" applyFill="1" applyBorder="1" applyAlignment="1" applyProtection="1">
      <alignment horizontal="center"/>
    </xf>
    <xf numFmtId="0" fontId="55" fillId="13" borderId="24" xfId="4" applyFill="1" applyBorder="1" applyProtection="1"/>
    <xf numFmtId="0" fontId="55" fillId="13" borderId="30" xfId="4" applyFill="1" applyBorder="1" applyProtection="1"/>
    <xf numFmtId="0" fontId="55" fillId="13" borderId="25" xfId="4" applyFill="1" applyBorder="1" applyProtection="1"/>
    <xf numFmtId="0" fontId="0" fillId="13" borderId="30" xfId="0" applyFill="1" applyBorder="1" applyProtection="1"/>
    <xf numFmtId="0" fontId="55" fillId="13" borderId="56" xfId="4" applyFill="1" applyBorder="1" applyProtection="1"/>
    <xf numFmtId="0" fontId="55" fillId="13" borderId="67" xfId="4" applyFill="1" applyBorder="1" applyProtection="1"/>
    <xf numFmtId="0" fontId="56" fillId="0" borderId="33" xfId="4" applyFont="1" applyBorder="1" applyAlignment="1" applyProtection="1">
      <alignment horizontal="center"/>
      <protection locked="0"/>
    </xf>
    <xf numFmtId="0" fontId="56" fillId="0" borderId="29" xfId="4" applyFont="1" applyBorder="1" applyAlignment="1" applyProtection="1">
      <alignment horizontal="center"/>
      <protection locked="0"/>
    </xf>
    <xf numFmtId="0" fontId="56" fillId="0" borderId="31" xfId="4" applyFont="1" applyBorder="1" applyAlignment="1" applyProtection="1">
      <alignment horizontal="center"/>
      <protection locked="0"/>
    </xf>
    <xf numFmtId="9" fontId="0" fillId="13" borderId="30" xfId="2" applyFont="1" applyFill="1" applyBorder="1" applyProtection="1"/>
    <xf numFmtId="1" fontId="0" fillId="13" borderId="30" xfId="0" applyNumberFormat="1" applyFill="1" applyBorder="1" applyProtection="1"/>
    <xf numFmtId="169" fontId="0" fillId="13" borderId="36" xfId="0" applyNumberFormat="1" applyFill="1" applyBorder="1" applyProtection="1"/>
    <xf numFmtId="0" fontId="55" fillId="13" borderId="62" xfId="4" applyFill="1" applyBorder="1" applyAlignment="1" applyProtection="1">
      <alignment horizontal="center"/>
    </xf>
    <xf numFmtId="0" fontId="55" fillId="13" borderId="30" xfId="4" applyFill="1" applyBorder="1" applyAlignment="1" applyProtection="1">
      <alignment horizontal="center"/>
    </xf>
    <xf numFmtId="0" fontId="55" fillId="13" borderId="76" xfId="4" applyFill="1" applyBorder="1" applyAlignment="1" applyProtection="1">
      <alignment horizontal="center"/>
    </xf>
    <xf numFmtId="0" fontId="56" fillId="13" borderId="47" xfId="4" applyFont="1" applyFill="1" applyBorder="1" applyAlignment="1" applyProtection="1">
      <alignment horizontal="center"/>
    </xf>
    <xf numFmtId="0" fontId="56" fillId="13" borderId="48" xfId="4" applyFont="1" applyFill="1" applyBorder="1" applyAlignment="1" applyProtection="1">
      <alignment horizontal="center"/>
    </xf>
    <xf numFmtId="164" fontId="56" fillId="13" borderId="42" xfId="1" applyFont="1" applyFill="1" applyBorder="1" applyAlignment="1" applyProtection="1"/>
    <xf numFmtId="0" fontId="56" fillId="0" borderId="62" xfId="4" applyFont="1" applyBorder="1" applyAlignment="1" applyProtection="1"/>
    <xf numFmtId="0" fontId="56" fillId="13" borderId="24" xfId="4" applyFont="1" applyFill="1" applyBorder="1" applyAlignment="1" applyProtection="1"/>
    <xf numFmtId="0" fontId="56" fillId="0" borderId="30" xfId="4" applyFont="1" applyBorder="1" applyAlignment="1" applyProtection="1"/>
    <xf numFmtId="165" fontId="56" fillId="13" borderId="35" xfId="1" applyNumberFormat="1" applyFont="1" applyFill="1" applyBorder="1" applyAlignment="1" applyProtection="1">
      <alignment horizontal="right"/>
    </xf>
    <xf numFmtId="0" fontId="56" fillId="0" borderId="36" xfId="4" applyFont="1" applyBorder="1" applyAlignment="1" applyProtection="1"/>
    <xf numFmtId="9" fontId="32" fillId="16" borderId="19" xfId="0" applyNumberFormat="1" applyFont="1" applyFill="1" applyBorder="1" applyProtection="1">
      <protection locked="0"/>
    </xf>
    <xf numFmtId="9" fontId="32" fillId="16" borderId="0" xfId="0" applyNumberFormat="1" applyFont="1" applyFill="1" applyBorder="1" applyProtection="1">
      <protection locked="0"/>
    </xf>
    <xf numFmtId="9" fontId="32" fillId="16" borderId="22" xfId="0" applyNumberFormat="1" applyFont="1" applyFill="1" applyBorder="1" applyProtection="1">
      <protection locked="0"/>
    </xf>
    <xf numFmtId="165" fontId="30" fillId="16" borderId="0" xfId="1" applyNumberFormat="1" applyFont="1" applyFill="1" applyProtection="1">
      <protection locked="0"/>
    </xf>
    <xf numFmtId="0" fontId="39" fillId="17" borderId="57" xfId="0" applyFont="1" applyFill="1" applyBorder="1"/>
    <xf numFmtId="0" fontId="0" fillId="17" borderId="58" xfId="0" applyFill="1" applyBorder="1"/>
    <xf numFmtId="165" fontId="0" fillId="17" borderId="58" xfId="1" applyNumberFormat="1" applyFont="1" applyFill="1" applyBorder="1"/>
    <xf numFmtId="165" fontId="0" fillId="17" borderId="59" xfId="1" applyNumberFormat="1" applyFont="1" applyFill="1" applyBorder="1"/>
    <xf numFmtId="0" fontId="52" fillId="0" borderId="0" xfId="0" applyFont="1" applyFill="1" applyBorder="1"/>
    <xf numFmtId="165" fontId="15" fillId="16" borderId="0" xfId="1" applyNumberFormat="1" applyFont="1" applyFill="1" applyBorder="1" applyAlignment="1" applyProtection="1">
      <alignment horizontal="right"/>
      <protection locked="0"/>
    </xf>
    <xf numFmtId="0" fontId="0" fillId="16" borderId="0" xfId="0" applyFill="1" applyProtection="1">
      <protection locked="0"/>
    </xf>
    <xf numFmtId="166" fontId="40" fillId="16" borderId="0" xfId="2" applyNumberFormat="1" applyFont="1" applyFill="1" applyBorder="1" applyAlignment="1" applyProtection="1">
      <alignment horizontal="right"/>
      <protection locked="0"/>
    </xf>
    <xf numFmtId="166" fontId="15" fillId="16" borderId="7" xfId="2" applyNumberFormat="1" applyFont="1" applyFill="1" applyBorder="1" applyAlignment="1" applyProtection="1">
      <alignment horizontal="right"/>
      <protection locked="0"/>
    </xf>
    <xf numFmtId="9" fontId="13" fillId="16" borderId="0" xfId="2" applyFont="1" applyFill="1" applyProtection="1">
      <protection locked="0"/>
    </xf>
    <xf numFmtId="0" fontId="0" fillId="0" borderId="29" xfId="0" applyBorder="1"/>
    <xf numFmtId="0" fontId="0" fillId="0" borderId="30" xfId="0" applyBorder="1"/>
    <xf numFmtId="0" fontId="0" fillId="0" borderId="34" xfId="0" applyBorder="1"/>
    <xf numFmtId="0" fontId="0" fillId="0" borderId="36" xfId="0" applyBorder="1"/>
    <xf numFmtId="0" fontId="0" fillId="0" borderId="33" xfId="0" applyBorder="1"/>
    <xf numFmtId="0" fontId="0" fillId="0" borderId="62" xfId="0" applyBorder="1"/>
    <xf numFmtId="0" fontId="0" fillId="0" borderId="29" xfId="0" applyBorder="1" applyAlignment="1">
      <alignment horizontal="center" wrapText="1"/>
    </xf>
    <xf numFmtId="0" fontId="0" fillId="0" borderId="30" xfId="0" applyBorder="1" applyAlignment="1">
      <alignment wrapText="1"/>
    </xf>
    <xf numFmtId="0" fontId="0" fillId="0" borderId="34" xfId="0" applyBorder="1" applyAlignment="1">
      <alignment horizontal="center" wrapText="1"/>
    </xf>
    <xf numFmtId="0" fontId="0" fillId="0" borderId="36" xfId="0" applyBorder="1" applyAlignment="1">
      <alignment wrapText="1"/>
    </xf>
    <xf numFmtId="0" fontId="0" fillId="0" borderId="33" xfId="0" applyBorder="1" applyAlignment="1">
      <alignment horizontal="center" wrapText="1"/>
    </xf>
    <xf numFmtId="0" fontId="0" fillId="0" borderId="62" xfId="0" applyBorder="1" applyAlignment="1">
      <alignment wrapText="1"/>
    </xf>
    <xf numFmtId="0" fontId="56" fillId="4" borderId="61" xfId="4" applyFont="1" applyFill="1" applyBorder="1" applyAlignment="1" applyProtection="1">
      <alignment horizontal="center"/>
      <protection locked="0"/>
    </xf>
    <xf numFmtId="0" fontId="56" fillId="4" borderId="43" xfId="4" applyFont="1" applyFill="1" applyBorder="1" applyAlignment="1" applyProtection="1">
      <alignment horizontal="center"/>
      <protection locked="0"/>
    </xf>
    <xf numFmtId="9" fontId="55" fillId="0" borderId="30" xfId="4" applyNumberFormat="1" applyBorder="1" applyAlignment="1" applyProtection="1">
      <alignment horizontal="center"/>
      <protection locked="0"/>
    </xf>
    <xf numFmtId="0" fontId="60" fillId="18" borderId="69" xfId="0" applyFont="1" applyFill="1" applyBorder="1" applyAlignment="1">
      <alignment vertical="center" wrapText="1"/>
    </xf>
    <xf numFmtId="0" fontId="60" fillId="18" borderId="33" xfId="0" applyFont="1" applyFill="1" applyBorder="1" applyAlignment="1">
      <alignment wrapText="1"/>
    </xf>
    <xf numFmtId="0" fontId="60" fillId="18" borderId="42" xfId="0" applyFont="1" applyFill="1" applyBorder="1" applyAlignment="1">
      <alignment wrapText="1"/>
    </xf>
    <xf numFmtId="0" fontId="60" fillId="18" borderId="62" xfId="0" applyFont="1" applyFill="1" applyBorder="1" applyAlignment="1">
      <alignment wrapText="1"/>
    </xf>
    <xf numFmtId="1" fontId="60" fillId="18" borderId="24" xfId="0" applyNumberFormat="1" applyFont="1" applyFill="1" applyBorder="1" applyAlignment="1">
      <alignment wrapText="1"/>
    </xf>
    <xf numFmtId="0" fontId="60" fillId="18" borderId="24" xfId="0" applyFont="1" applyFill="1" applyBorder="1" applyAlignment="1">
      <alignment wrapText="1"/>
    </xf>
    <xf numFmtId="0" fontId="0" fillId="0" borderId="0" xfId="0" applyAlignment="1">
      <alignment wrapText="1"/>
    </xf>
    <xf numFmtId="169" fontId="60" fillId="18" borderId="24" xfId="0" applyNumberFormat="1" applyFont="1" applyFill="1" applyBorder="1" applyAlignment="1">
      <alignment wrapText="1"/>
    </xf>
    <xf numFmtId="1" fontId="60" fillId="0" borderId="24" xfId="0" applyNumberFormat="1" applyFont="1" applyBorder="1" applyAlignment="1">
      <alignment wrapText="1"/>
    </xf>
    <xf numFmtId="0" fontId="55" fillId="12" borderId="38" xfId="2" applyNumberFormat="1" applyFont="1" applyFill="1" applyBorder="1" applyProtection="1">
      <protection locked="0"/>
    </xf>
    <xf numFmtId="0" fontId="55" fillId="12" borderId="39" xfId="2" applyNumberFormat="1" applyFont="1" applyFill="1" applyBorder="1" applyProtection="1">
      <protection locked="0"/>
    </xf>
    <xf numFmtId="0" fontId="55" fillId="12" borderId="24" xfId="2" applyNumberFormat="1" applyFont="1" applyFill="1" applyBorder="1" applyProtection="1">
      <protection locked="0"/>
    </xf>
    <xf numFmtId="0" fontId="55" fillId="12" borderId="30" xfId="2" applyNumberFormat="1" applyFont="1" applyFill="1" applyBorder="1" applyProtection="1">
      <protection locked="0"/>
    </xf>
    <xf numFmtId="0" fontId="55" fillId="12" borderId="35" xfId="2" applyNumberFormat="1" applyFont="1" applyFill="1" applyBorder="1" applyProtection="1">
      <protection locked="0"/>
    </xf>
    <xf numFmtId="0" fontId="55" fillId="12" borderId="36" xfId="2" applyNumberFormat="1" applyFont="1" applyFill="1" applyBorder="1" applyProtection="1">
      <protection locked="0"/>
    </xf>
    <xf numFmtId="167" fontId="56" fillId="4" borderId="32" xfId="4" applyNumberFormat="1" applyFont="1" applyFill="1" applyBorder="1" applyProtection="1">
      <protection locked="0"/>
    </xf>
    <xf numFmtId="167" fontId="56" fillId="4" borderId="26" xfId="4" applyNumberFormat="1" applyFont="1" applyFill="1" applyBorder="1" applyProtection="1">
      <protection locked="0"/>
    </xf>
    <xf numFmtId="17" fontId="56" fillId="4" borderId="75" xfId="4" applyNumberFormat="1" applyFont="1" applyFill="1" applyBorder="1" applyProtection="1">
      <protection locked="0"/>
    </xf>
    <xf numFmtId="0" fontId="55" fillId="13" borderId="51" xfId="2" applyNumberFormat="1" applyFont="1" applyFill="1" applyBorder="1" applyProtection="1">
      <protection locked="0"/>
    </xf>
    <xf numFmtId="0" fontId="55" fillId="13" borderId="59" xfId="2" applyNumberFormat="1" applyFont="1" applyFill="1" applyBorder="1" applyProtection="1">
      <protection locked="0"/>
    </xf>
    <xf numFmtId="1" fontId="0" fillId="0" borderId="0" xfId="0" applyNumberFormat="1"/>
    <xf numFmtId="0" fontId="7" fillId="19" borderId="10" xfId="0" applyFont="1" applyFill="1" applyBorder="1" applyAlignment="1">
      <alignment horizontal="center"/>
    </xf>
    <xf numFmtId="0" fontId="56" fillId="19" borderId="59" xfId="4" applyFont="1" applyFill="1" applyBorder="1" applyAlignment="1" applyProtection="1">
      <alignment horizontal="center"/>
    </xf>
    <xf numFmtId="0" fontId="56" fillId="4" borderId="54" xfId="4" applyFont="1" applyFill="1" applyBorder="1" applyAlignment="1" applyProtection="1">
      <alignment horizontal="center"/>
    </xf>
    <xf numFmtId="0" fontId="56" fillId="4" borderId="55" xfId="4" applyFont="1" applyFill="1" applyBorder="1" applyAlignment="1" applyProtection="1">
      <alignment horizontal="center"/>
    </xf>
    <xf numFmtId="0" fontId="56" fillId="4" borderId="9" xfId="4" applyFont="1" applyFill="1" applyBorder="1" applyAlignment="1" applyProtection="1">
      <alignment horizontal="center"/>
    </xf>
    <xf numFmtId="0" fontId="56" fillId="4" borderId="1" xfId="4" applyFont="1" applyFill="1" applyBorder="1" applyAlignment="1" applyProtection="1">
      <alignment horizontal="center"/>
    </xf>
    <xf numFmtId="0" fontId="56" fillId="4" borderId="66" xfId="4" applyFont="1" applyFill="1" applyBorder="1" applyAlignment="1" applyProtection="1">
      <alignment horizontal="center"/>
    </xf>
    <xf numFmtId="0" fontId="55" fillId="0" borderId="38" xfId="4" applyBorder="1" applyAlignment="1" applyProtection="1">
      <alignment horizontal="center"/>
      <protection locked="0"/>
    </xf>
    <xf numFmtId="0" fontId="55" fillId="0" borderId="39" xfId="4" applyBorder="1" applyAlignment="1" applyProtection="1">
      <alignment horizontal="center"/>
      <protection locked="0"/>
    </xf>
    <xf numFmtId="1" fontId="0" fillId="13" borderId="35" xfId="0" applyNumberFormat="1" applyFill="1" applyBorder="1" applyAlignment="1">
      <alignment horizontal="center"/>
    </xf>
    <xf numFmtId="1" fontId="0" fillId="13" borderId="36" xfId="0" applyNumberFormat="1" applyFill="1" applyBorder="1" applyAlignment="1">
      <alignment horizontal="center"/>
    </xf>
    <xf numFmtId="1" fontId="60" fillId="13" borderId="53" xfId="0" applyNumberFormat="1" applyFont="1" applyFill="1" applyBorder="1" applyAlignment="1">
      <alignment wrapText="1"/>
    </xf>
    <xf numFmtId="1" fontId="55" fillId="12" borderId="24" xfId="2" applyNumberFormat="1" applyFont="1" applyFill="1" applyBorder="1" applyProtection="1">
      <protection locked="0"/>
    </xf>
    <xf numFmtId="1" fontId="0" fillId="0" borderId="0" xfId="0" applyNumberFormat="1" applyAlignment="1">
      <alignment wrapText="1"/>
    </xf>
    <xf numFmtId="0" fontId="55" fillId="12" borderId="50" xfId="2" applyNumberFormat="1" applyFont="1" applyFill="1" applyBorder="1" applyProtection="1">
      <protection locked="0"/>
    </xf>
    <xf numFmtId="0" fontId="55" fillId="12" borderId="76" xfId="2" applyNumberFormat="1" applyFont="1" applyFill="1" applyBorder="1" applyProtection="1">
      <protection locked="0"/>
    </xf>
    <xf numFmtId="0" fontId="0" fillId="13" borderId="46" xfId="0" applyFill="1" applyBorder="1"/>
    <xf numFmtId="0" fontId="0" fillId="13" borderId="47" xfId="0" applyFill="1" applyBorder="1"/>
    <xf numFmtId="0" fontId="0" fillId="13" borderId="48" xfId="0" applyFill="1" applyBorder="1"/>
    <xf numFmtId="0" fontId="56" fillId="13" borderId="78" xfId="2" applyNumberFormat="1" applyFont="1" applyFill="1" applyBorder="1" applyProtection="1">
      <protection locked="0"/>
    </xf>
    <xf numFmtId="0" fontId="7" fillId="13" borderId="60" xfId="0" applyFont="1" applyFill="1" applyBorder="1"/>
    <xf numFmtId="0" fontId="56" fillId="4" borderId="63" xfId="4" applyFont="1" applyFill="1" applyBorder="1" applyAlignment="1" applyProtection="1">
      <alignment horizontal="center" wrapText="1"/>
      <protection locked="0"/>
    </xf>
    <xf numFmtId="0" fontId="55" fillId="0" borderId="65" xfId="4" applyBorder="1" applyProtection="1">
      <protection locked="0"/>
    </xf>
    <xf numFmtId="0" fontId="55" fillId="0" borderId="69" xfId="4" applyBorder="1" applyProtection="1">
      <protection locked="0"/>
    </xf>
    <xf numFmtId="0" fontId="55" fillId="0" borderId="40" xfId="4" applyBorder="1" applyProtection="1">
      <protection locked="0"/>
    </xf>
    <xf numFmtId="0" fontId="55" fillId="0" borderId="68" xfId="4" applyBorder="1" applyProtection="1">
      <protection locked="0"/>
    </xf>
    <xf numFmtId="0" fontId="56" fillId="4" borderId="78" xfId="4" applyFont="1" applyFill="1" applyBorder="1" applyAlignment="1" applyProtection="1">
      <alignment horizontal="center" wrapText="1"/>
      <protection locked="0"/>
    </xf>
    <xf numFmtId="0" fontId="61" fillId="0" borderId="27" xfId="0" applyFont="1" applyBorder="1" applyAlignment="1">
      <alignment horizontal="left"/>
    </xf>
    <xf numFmtId="1" fontId="0" fillId="0" borderId="38" xfId="0" applyNumberFormat="1" applyBorder="1" applyAlignment="1">
      <alignment horizontal="center" wrapText="1"/>
    </xf>
    <xf numFmtId="0" fontId="0" fillId="0" borderId="39" xfId="0" applyBorder="1"/>
    <xf numFmtId="0" fontId="61" fillId="0" borderId="29" xfId="0" applyFont="1" applyBorder="1" applyAlignment="1">
      <alignment horizontal="left"/>
    </xf>
    <xf numFmtId="169" fontId="0" fillId="0" borderId="24" xfId="0" applyNumberFormat="1" applyBorder="1" applyAlignment="1">
      <alignment horizontal="center"/>
    </xf>
    <xf numFmtId="1" fontId="0" fillId="0" borderId="24" xfId="0" applyNumberFormat="1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165" fontId="0" fillId="0" borderId="24" xfId="1" applyNumberFormat="1" applyFont="1" applyBorder="1" applyAlignment="1">
      <alignment wrapText="1"/>
    </xf>
    <xf numFmtId="1" fontId="55" fillId="12" borderId="50" xfId="2" applyNumberFormat="1" applyFont="1" applyFill="1" applyBorder="1" applyProtection="1">
      <protection locked="0"/>
    </xf>
    <xf numFmtId="1" fontId="0" fillId="0" borderId="47" xfId="0" applyNumberFormat="1" applyBorder="1"/>
    <xf numFmtId="0" fontId="60" fillId="18" borderId="33" xfId="0" applyFont="1" applyFill="1" applyBorder="1" applyAlignment="1"/>
    <xf numFmtId="1" fontId="60" fillId="18" borderId="24" xfId="0" applyNumberFormat="1" applyFont="1" applyFill="1" applyBorder="1" applyAlignment="1"/>
    <xf numFmtId="1" fontId="55" fillId="12" borderId="24" xfId="2" applyNumberFormat="1" applyFont="1" applyFill="1" applyBorder="1" applyAlignment="1" applyProtection="1">
      <protection locked="0"/>
    </xf>
    <xf numFmtId="1" fontId="0" fillId="0" borderId="0" xfId="0" applyNumberFormat="1" applyAlignment="1"/>
    <xf numFmtId="0" fontId="0" fillId="0" borderId="0" xfId="0" applyAlignment="1"/>
    <xf numFmtId="0" fontId="60" fillId="0" borderId="29" xfId="0" applyFont="1" applyFill="1" applyBorder="1" applyAlignment="1">
      <alignment wrapText="1"/>
    </xf>
    <xf numFmtId="1" fontId="60" fillId="13" borderId="74" xfId="0" applyNumberFormat="1" applyFont="1" applyFill="1" applyBorder="1" applyAlignment="1">
      <alignment wrapText="1"/>
    </xf>
    <xf numFmtId="169" fontId="0" fillId="0" borderId="38" xfId="0" applyNumberFormat="1" applyBorder="1" applyAlignment="1">
      <alignment horizontal="center"/>
    </xf>
    <xf numFmtId="9" fontId="0" fillId="0" borderId="0" xfId="2" applyFont="1"/>
    <xf numFmtId="9" fontId="0" fillId="0" borderId="50" xfId="2" applyFont="1" applyBorder="1" applyAlignment="1">
      <alignment horizontal="center" wrapText="1"/>
    </xf>
    <xf numFmtId="0" fontId="7" fillId="0" borderId="46" xfId="0" applyFont="1" applyBorder="1"/>
    <xf numFmtId="0" fontId="7" fillId="0" borderId="47" xfId="0" applyFont="1" applyBorder="1"/>
    <xf numFmtId="9" fontId="7" fillId="0" borderId="47" xfId="2" applyFont="1" applyBorder="1"/>
    <xf numFmtId="0" fontId="0" fillId="0" borderId="48" xfId="0" applyBorder="1"/>
    <xf numFmtId="1" fontId="55" fillId="13" borderId="56" xfId="4" applyNumberFormat="1" applyFill="1" applyBorder="1" applyProtection="1"/>
    <xf numFmtId="0" fontId="55" fillId="20" borderId="33" xfId="4" applyFill="1" applyBorder="1" applyProtection="1">
      <protection locked="0"/>
    </xf>
    <xf numFmtId="0" fontId="55" fillId="20" borderId="42" xfId="4" applyFill="1" applyBorder="1" applyProtection="1">
      <protection locked="0"/>
    </xf>
    <xf numFmtId="0" fontId="55" fillId="20" borderId="62" xfId="4" applyFill="1" applyBorder="1" applyProtection="1">
      <protection locked="0"/>
    </xf>
    <xf numFmtId="0" fontId="55" fillId="20" borderId="29" xfId="4" applyFill="1" applyBorder="1" applyProtection="1">
      <protection locked="0"/>
    </xf>
    <xf numFmtId="0" fontId="55" fillId="20" borderId="24" xfId="4" applyFill="1" applyBorder="1" applyProtection="1">
      <protection locked="0"/>
    </xf>
    <xf numFmtId="0" fontId="55" fillId="20" borderId="30" xfId="4" applyFill="1" applyBorder="1" applyProtection="1">
      <protection locked="0"/>
    </xf>
    <xf numFmtId="0" fontId="55" fillId="20" borderId="34" xfId="4" applyFill="1" applyBorder="1" applyProtection="1">
      <protection locked="0"/>
    </xf>
    <xf numFmtId="0" fontId="55" fillId="20" borderId="35" xfId="4" applyFill="1" applyBorder="1" applyProtection="1">
      <protection locked="0"/>
    </xf>
    <xf numFmtId="0" fontId="55" fillId="20" borderId="36" xfId="4" applyFill="1" applyBorder="1" applyProtection="1">
      <protection locked="0"/>
    </xf>
    <xf numFmtId="0" fontId="55" fillId="0" borderId="64" xfId="4" applyFill="1" applyBorder="1" applyProtection="1">
      <protection locked="0"/>
    </xf>
    <xf numFmtId="0" fontId="55" fillId="0" borderId="53" xfId="4" applyFill="1" applyBorder="1" applyProtection="1">
      <protection locked="0"/>
    </xf>
    <xf numFmtId="0" fontId="55" fillId="0" borderId="65" xfId="4" applyFill="1" applyBorder="1" applyProtection="1">
      <protection locked="0"/>
    </xf>
    <xf numFmtId="9" fontId="55" fillId="12" borderId="27" xfId="4" applyNumberFormat="1" applyFill="1" applyBorder="1" applyProtection="1">
      <protection locked="0"/>
    </xf>
    <xf numFmtId="9" fontId="55" fillId="12" borderId="29" xfId="4" applyNumberFormat="1" applyFill="1" applyBorder="1" applyProtection="1">
      <protection locked="0"/>
    </xf>
    <xf numFmtId="9" fontId="55" fillId="12" borderId="34" xfId="4" applyNumberFormat="1" applyFill="1" applyBorder="1" applyProtection="1">
      <protection locked="0"/>
    </xf>
    <xf numFmtId="9" fontId="55" fillId="0" borderId="0" xfId="2" applyFont="1" applyBorder="1" applyProtection="1">
      <protection locked="0"/>
    </xf>
    <xf numFmtId="9" fontId="55" fillId="0" borderId="0" xfId="4" applyNumberFormat="1" applyProtection="1">
      <protection locked="0"/>
    </xf>
    <xf numFmtId="167" fontId="56" fillId="4" borderId="24" xfId="4" applyNumberFormat="1" applyFont="1" applyFill="1" applyBorder="1"/>
    <xf numFmtId="17" fontId="56" fillId="4" borderId="24" xfId="4" applyNumberFormat="1" applyFont="1" applyFill="1" applyBorder="1"/>
    <xf numFmtId="0" fontId="55" fillId="0" borderId="24" xfId="4" applyBorder="1"/>
    <xf numFmtId="0" fontId="56" fillId="0" borderId="24" xfId="4" applyFont="1" applyBorder="1" applyAlignment="1">
      <alignment horizontal="center" vertical="center"/>
    </xf>
    <xf numFmtId="0" fontId="55" fillId="13" borderId="31" xfId="4" applyFill="1" applyBorder="1" applyAlignment="1" applyProtection="1">
      <alignment horizontal="center"/>
    </xf>
    <xf numFmtId="0" fontId="55" fillId="13" borderId="50" xfId="4" applyFill="1" applyBorder="1" applyAlignment="1" applyProtection="1">
      <alignment horizontal="center"/>
    </xf>
    <xf numFmtId="0" fontId="55" fillId="10" borderId="76" xfId="4" applyFill="1" applyBorder="1" applyProtection="1"/>
    <xf numFmtId="0" fontId="55" fillId="13" borderId="85" xfId="4" applyFill="1" applyBorder="1" applyAlignment="1" applyProtection="1">
      <alignment horizontal="center"/>
    </xf>
    <xf numFmtId="0" fontId="55" fillId="13" borderId="50" xfId="4" applyFill="1" applyBorder="1" applyProtection="1"/>
    <xf numFmtId="0" fontId="55" fillId="13" borderId="76" xfId="4" applyFill="1" applyBorder="1" applyProtection="1"/>
    <xf numFmtId="0" fontId="55" fillId="13" borderId="85" xfId="4" applyFill="1" applyBorder="1" applyProtection="1"/>
    <xf numFmtId="9" fontId="55" fillId="0" borderId="46" xfId="4" applyNumberFormat="1" applyFill="1" applyBorder="1" applyAlignment="1" applyProtection="1">
      <alignment horizontal="center"/>
      <protection locked="0"/>
    </xf>
    <xf numFmtId="9" fontId="55" fillId="0" borderId="47" xfId="4" applyNumberFormat="1" applyFill="1" applyBorder="1" applyAlignment="1" applyProtection="1">
      <alignment horizontal="center"/>
      <protection locked="0"/>
    </xf>
    <xf numFmtId="9" fontId="55" fillId="0" borderId="47" xfId="2" applyFont="1" applyFill="1" applyBorder="1" applyAlignment="1" applyProtection="1">
      <alignment horizontal="center"/>
      <protection locked="0"/>
    </xf>
    <xf numFmtId="9" fontId="55" fillId="0" borderId="47" xfId="2" applyFont="1" applyFill="1" applyBorder="1" applyProtection="1">
      <protection locked="0"/>
    </xf>
    <xf numFmtId="9" fontId="55" fillId="0" borderId="48" xfId="4" applyNumberFormat="1" applyFill="1" applyBorder="1" applyProtection="1">
      <protection locked="0"/>
    </xf>
    <xf numFmtId="9" fontId="32" fillId="0" borderId="19" xfId="0" applyNumberFormat="1" applyFont="1" applyFill="1" applyBorder="1" applyProtection="1">
      <protection locked="0"/>
    </xf>
    <xf numFmtId="9" fontId="32" fillId="0" borderId="0" xfId="0" applyNumberFormat="1" applyFont="1" applyFill="1" applyBorder="1" applyProtection="1">
      <protection locked="0"/>
    </xf>
    <xf numFmtId="9" fontId="32" fillId="0" borderId="22" xfId="0" applyNumberFormat="1" applyFont="1" applyFill="1" applyBorder="1" applyProtection="1">
      <protection locked="0"/>
    </xf>
    <xf numFmtId="0" fontId="55" fillId="0" borderId="50" xfId="4" applyBorder="1"/>
    <xf numFmtId="0" fontId="56" fillId="0" borderId="47" xfId="4" applyFont="1" applyBorder="1"/>
    <xf numFmtId="0" fontId="56" fillId="0" borderId="48" xfId="4" applyFont="1" applyBorder="1"/>
    <xf numFmtId="9" fontId="60" fillId="0" borderId="29" xfId="2" applyFont="1" applyFill="1" applyBorder="1" applyAlignment="1">
      <alignment wrapText="1"/>
    </xf>
    <xf numFmtId="1" fontId="55" fillId="0" borderId="0" xfId="2" applyNumberFormat="1" applyFont="1" applyFill="1" applyBorder="1" applyProtection="1">
      <protection locked="0"/>
    </xf>
    <xf numFmtId="1" fontId="55" fillId="0" borderId="0" xfId="2" applyNumberFormat="1" applyFont="1" applyFill="1" applyBorder="1" applyAlignment="1" applyProtection="1">
      <protection locked="0"/>
    </xf>
    <xf numFmtId="9" fontId="55" fillId="0" borderId="0" xfId="4" applyNumberFormat="1" applyFill="1" applyBorder="1" applyProtection="1">
      <protection locked="0"/>
    </xf>
    <xf numFmtId="0" fontId="55" fillId="12" borderId="35" xfId="4" applyFill="1" applyBorder="1" applyAlignment="1" applyProtection="1">
      <alignment horizontal="left"/>
      <protection locked="0"/>
    </xf>
    <xf numFmtId="0" fontId="55" fillId="0" borderId="36" xfId="4" applyBorder="1" applyProtection="1">
      <protection locked="0"/>
    </xf>
    <xf numFmtId="0" fontId="55" fillId="0" borderId="33" xfId="4" applyBorder="1" applyProtection="1">
      <protection locked="0"/>
    </xf>
    <xf numFmtId="0" fontId="56" fillId="14" borderId="46" xfId="4" applyFont="1" applyFill="1" applyBorder="1" applyProtection="1">
      <protection locked="0"/>
    </xf>
    <xf numFmtId="167" fontId="56" fillId="4" borderId="47" xfId="4" applyNumberFormat="1" applyFont="1" applyFill="1" applyBorder="1" applyProtection="1">
      <protection locked="0"/>
    </xf>
    <xf numFmtId="17" fontId="56" fillId="4" borderId="47" xfId="4" applyNumberFormat="1" applyFont="1" applyFill="1" applyBorder="1" applyProtection="1">
      <protection locked="0"/>
    </xf>
    <xf numFmtId="17" fontId="56" fillId="4" borderId="48" xfId="4" applyNumberFormat="1" applyFont="1" applyFill="1" applyBorder="1" applyProtection="1">
      <protection locked="0"/>
    </xf>
    <xf numFmtId="9" fontId="55" fillId="0" borderId="42" xfId="2" applyFont="1" applyBorder="1" applyProtection="1">
      <protection locked="0"/>
    </xf>
    <xf numFmtId="9" fontId="55" fillId="0" borderId="62" xfId="2" applyFont="1" applyBorder="1" applyProtection="1">
      <protection locked="0"/>
    </xf>
    <xf numFmtId="9" fontId="55" fillId="0" borderId="35" xfId="2" applyFont="1" applyBorder="1" applyProtection="1">
      <protection locked="0"/>
    </xf>
    <xf numFmtId="9" fontId="55" fillId="0" borderId="36" xfId="2" applyFont="1" applyBorder="1" applyProtection="1">
      <protection locked="0"/>
    </xf>
    <xf numFmtId="0" fontId="56" fillId="14" borderId="43" xfId="4" applyFont="1" applyFill="1" applyBorder="1" applyProtection="1">
      <protection locked="0"/>
    </xf>
    <xf numFmtId="0" fontId="56" fillId="14" borderId="47" xfId="4" applyFont="1" applyFill="1" applyBorder="1" applyProtection="1">
      <protection locked="0"/>
    </xf>
    <xf numFmtId="0" fontId="56" fillId="14" borderId="48" xfId="4" applyFont="1" applyFill="1" applyBorder="1" applyProtection="1">
      <protection locked="0"/>
    </xf>
    <xf numFmtId="10" fontId="55" fillId="0" borderId="44" xfId="4" applyNumberFormat="1" applyBorder="1" applyProtection="1">
      <protection locked="0"/>
    </xf>
    <xf numFmtId="10" fontId="55" fillId="0" borderId="48" xfId="2" applyNumberFormat="1" applyFont="1" applyBorder="1" applyProtection="1">
      <protection locked="0"/>
    </xf>
    <xf numFmtId="0" fontId="55" fillId="12" borderId="42" xfId="4" applyFont="1" applyFill="1" applyBorder="1" applyAlignment="1">
      <alignment horizontal="left"/>
    </xf>
    <xf numFmtId="0" fontId="55" fillId="12" borderId="42" xfId="4" applyFill="1" applyBorder="1" applyAlignment="1">
      <alignment horizontal="left"/>
    </xf>
    <xf numFmtId="0" fontId="55" fillId="12" borderId="35" xfId="4" applyFill="1" applyBorder="1" applyAlignment="1">
      <alignment horizontal="left"/>
    </xf>
    <xf numFmtId="0" fontId="55" fillId="12" borderId="54" xfId="4" applyFill="1" applyBorder="1"/>
    <xf numFmtId="0" fontId="55" fillId="0" borderId="45" xfId="4" applyBorder="1" applyAlignment="1" applyProtection="1">
      <alignment horizontal="center"/>
      <protection locked="0"/>
    </xf>
    <xf numFmtId="0" fontId="59" fillId="4" borderId="82" xfId="0" applyFont="1" applyFill="1" applyBorder="1"/>
    <xf numFmtId="0" fontId="59" fillId="4" borderId="38" xfId="0" applyFont="1" applyFill="1" applyBorder="1"/>
    <xf numFmtId="0" fontId="59" fillId="4" borderId="83" xfId="0" applyFont="1" applyFill="1" applyBorder="1" applyAlignment="1">
      <alignment wrapText="1"/>
    </xf>
    <xf numFmtId="0" fontId="0" fillId="0" borderId="42" xfId="0" applyFill="1" applyBorder="1" applyProtection="1">
      <protection locked="0"/>
    </xf>
    <xf numFmtId="9" fontId="0" fillId="0" borderId="24" xfId="2" applyFont="1" applyFill="1" applyBorder="1" applyProtection="1">
      <protection locked="0"/>
    </xf>
    <xf numFmtId="9" fontId="0" fillId="0" borderId="24" xfId="0" applyNumberFormat="1" applyFill="1" applyBorder="1" applyProtection="1">
      <protection locked="0"/>
    </xf>
    <xf numFmtId="1" fontId="0" fillId="0" borderId="24" xfId="0" applyNumberFormat="1" applyFill="1" applyBorder="1" applyProtection="1">
      <protection locked="0"/>
    </xf>
    <xf numFmtId="0" fontId="0" fillId="0" borderId="24" xfId="0" applyFill="1" applyBorder="1" applyProtection="1">
      <protection locked="0"/>
    </xf>
    <xf numFmtId="169" fontId="0" fillId="0" borderId="35" xfId="0" applyNumberFormat="1" applyFill="1" applyBorder="1" applyProtection="1">
      <protection locked="0"/>
    </xf>
    <xf numFmtId="0" fontId="0" fillId="0" borderId="35" xfId="0" applyFill="1" applyBorder="1" applyProtection="1">
      <protection locked="0"/>
    </xf>
    <xf numFmtId="0" fontId="7" fillId="17" borderId="47" xfId="0" applyFont="1" applyFill="1" applyBorder="1" applyProtection="1">
      <protection locked="0"/>
    </xf>
    <xf numFmtId="0" fontId="56" fillId="17" borderId="48" xfId="4" applyFont="1" applyFill="1" applyBorder="1" applyProtection="1">
      <protection locked="0"/>
    </xf>
    <xf numFmtId="0" fontId="7" fillId="0" borderId="35" xfId="0" applyFont="1" applyBorder="1"/>
    <xf numFmtId="0" fontId="7" fillId="0" borderId="34" xfId="0" applyFont="1" applyBorder="1"/>
    <xf numFmtId="0" fontId="7" fillId="0" borderId="36" xfId="0" applyFont="1" applyFill="1" applyBorder="1"/>
    <xf numFmtId="0" fontId="7" fillId="0" borderId="28" xfId="0" applyFont="1" applyBorder="1" applyAlignment="1">
      <alignment horizontal="center"/>
    </xf>
    <xf numFmtId="0" fontId="7" fillId="0" borderId="56" xfId="0" applyFont="1" applyBorder="1"/>
    <xf numFmtId="0" fontId="7" fillId="0" borderId="67" xfId="0" applyFont="1" applyBorder="1"/>
    <xf numFmtId="0" fontId="7" fillId="0" borderId="49" xfId="0" applyFont="1" applyBorder="1"/>
    <xf numFmtId="2" fontId="0" fillId="0" borderId="33" xfId="0" applyNumberFormat="1" applyBorder="1"/>
    <xf numFmtId="2" fontId="0" fillId="0" borderId="42" xfId="0" applyNumberFormat="1" applyBorder="1"/>
    <xf numFmtId="2" fontId="0" fillId="0" borderId="29" xfId="0" applyNumberFormat="1" applyBorder="1"/>
    <xf numFmtId="2" fontId="0" fillId="0" borderId="24" xfId="0" applyNumberFormat="1" applyBorder="1"/>
    <xf numFmtId="2" fontId="0" fillId="0" borderId="34" xfId="0" applyNumberFormat="1" applyBorder="1"/>
    <xf numFmtId="2" fontId="0" fillId="0" borderId="35" xfId="0" applyNumberFormat="1" applyBorder="1"/>
    <xf numFmtId="2" fontId="0" fillId="0" borderId="0" xfId="0" applyNumberFormat="1"/>
    <xf numFmtId="9" fontId="0" fillId="0" borderId="62" xfId="2" applyFont="1" applyBorder="1"/>
    <xf numFmtId="9" fontId="0" fillId="0" borderId="30" xfId="2" applyFont="1" applyBorder="1"/>
    <xf numFmtId="9" fontId="0" fillId="0" borderId="36" xfId="2" applyFont="1" applyBorder="1"/>
    <xf numFmtId="2" fontId="0" fillId="0" borderId="43" xfId="0" applyNumberFormat="1" applyBorder="1"/>
    <xf numFmtId="0" fontId="56" fillId="14" borderId="57" xfId="4" applyFont="1" applyFill="1" applyBorder="1" applyProtection="1">
      <protection locked="0"/>
    </xf>
    <xf numFmtId="0" fontId="55" fillId="0" borderId="78" xfId="4" applyBorder="1" applyProtection="1">
      <protection locked="0"/>
    </xf>
    <xf numFmtId="9" fontId="55" fillId="12" borderId="86" xfId="4" applyNumberFormat="1" applyFill="1" applyBorder="1" applyProtection="1">
      <protection locked="0"/>
    </xf>
    <xf numFmtId="9" fontId="55" fillId="12" borderId="87" xfId="4" applyNumberFormat="1" applyFill="1" applyBorder="1" applyProtection="1">
      <protection locked="0"/>
    </xf>
    <xf numFmtId="0" fontId="7" fillId="14" borderId="28" xfId="0" applyFont="1" applyFill="1" applyBorder="1" applyAlignment="1">
      <alignment horizontal="center"/>
    </xf>
    <xf numFmtId="0" fontId="7" fillId="14" borderId="34" xfId="0" applyFont="1" applyFill="1" applyBorder="1"/>
    <xf numFmtId="0" fontId="7" fillId="14" borderId="35" xfId="0" applyFont="1" applyFill="1" applyBorder="1"/>
    <xf numFmtId="0" fontId="7" fillId="14" borderId="36" xfId="0" applyFont="1" applyFill="1" applyBorder="1"/>
    <xf numFmtId="0" fontId="7" fillId="14" borderId="77" xfId="0" applyFont="1" applyFill="1" applyBorder="1"/>
    <xf numFmtId="2" fontId="7" fillId="14" borderId="34" xfId="0" applyNumberFormat="1" applyFont="1" applyFill="1" applyBorder="1"/>
    <xf numFmtId="2" fontId="7" fillId="14" borderId="35" xfId="0" applyNumberFormat="1" applyFont="1" applyFill="1" applyBorder="1"/>
    <xf numFmtId="2" fontId="7" fillId="14" borderId="36" xfId="0" applyNumberFormat="1" applyFont="1" applyFill="1" applyBorder="1"/>
    <xf numFmtId="2" fontId="7" fillId="14" borderId="77" xfId="0" applyNumberFormat="1" applyFont="1" applyFill="1" applyBorder="1"/>
    <xf numFmtId="2" fontId="7" fillId="14" borderId="65" xfId="0" applyNumberFormat="1" applyFont="1" applyFill="1" applyBorder="1"/>
    <xf numFmtId="9" fontId="0" fillId="0" borderId="44" xfId="2" applyFont="1" applyBorder="1"/>
    <xf numFmtId="2" fontId="0" fillId="0" borderId="45" xfId="0" applyNumberFormat="1" applyBorder="1"/>
    <xf numFmtId="0" fontId="44" fillId="0" borderId="0" xfId="0" applyFont="1" applyFill="1" applyBorder="1"/>
    <xf numFmtId="165" fontId="44" fillId="0" borderId="0" xfId="1" applyNumberFormat="1" applyFont="1" applyFill="1" applyBorder="1"/>
    <xf numFmtId="165" fontId="30" fillId="0" borderId="24" xfId="1" applyNumberFormat="1" applyFont="1" applyFill="1" applyBorder="1"/>
    <xf numFmtId="165" fontId="30" fillId="0" borderId="30" xfId="1" applyNumberFormat="1" applyFont="1" applyFill="1" applyBorder="1"/>
    <xf numFmtId="165" fontId="30" fillId="0" borderId="35" xfId="1" applyNumberFormat="1" applyFont="1" applyFill="1" applyBorder="1"/>
    <xf numFmtId="165" fontId="30" fillId="0" borderId="36" xfId="1" applyNumberFormat="1" applyFont="1" applyFill="1" applyBorder="1"/>
    <xf numFmtId="167" fontId="56" fillId="4" borderId="41" xfId="4" applyNumberFormat="1" applyFont="1" applyFill="1" applyBorder="1" applyProtection="1">
      <protection locked="0"/>
    </xf>
    <xf numFmtId="167" fontId="56" fillId="4" borderId="88" xfId="4" applyNumberFormat="1" applyFont="1" applyFill="1" applyBorder="1" applyProtection="1">
      <protection locked="0"/>
    </xf>
    <xf numFmtId="17" fontId="56" fillId="4" borderId="54" xfId="4" applyNumberFormat="1" applyFont="1" applyFill="1" applyBorder="1" applyProtection="1">
      <protection locked="0"/>
    </xf>
    <xf numFmtId="167" fontId="56" fillId="4" borderId="54" xfId="4" applyNumberFormat="1" applyFont="1" applyFill="1" applyBorder="1" applyProtection="1">
      <protection locked="0"/>
    </xf>
    <xf numFmtId="17" fontId="56" fillId="4" borderId="66" xfId="4" applyNumberFormat="1" applyFont="1" applyFill="1" applyBorder="1" applyProtection="1">
      <protection locked="0"/>
    </xf>
    <xf numFmtId="0" fontId="55" fillId="0" borderId="27" xfId="4" applyBorder="1" applyProtection="1">
      <protection locked="0"/>
    </xf>
    <xf numFmtId="0" fontId="55" fillId="0" borderId="38" xfId="4" applyBorder="1" applyProtection="1">
      <protection locked="0"/>
    </xf>
    <xf numFmtId="165" fontId="30" fillId="0" borderId="38" xfId="1" applyNumberFormat="1" applyFont="1" applyFill="1" applyBorder="1"/>
    <xf numFmtId="165" fontId="30" fillId="0" borderId="39" xfId="1" applyNumberFormat="1" applyFont="1" applyFill="1" applyBorder="1"/>
    <xf numFmtId="0" fontId="62" fillId="19" borderId="78" xfId="0" applyFont="1" applyFill="1" applyBorder="1"/>
    <xf numFmtId="0" fontId="62" fillId="0" borderId="78" xfId="0" applyFont="1" applyFill="1" applyBorder="1"/>
    <xf numFmtId="0" fontId="0" fillId="0" borderId="31" xfId="0" applyBorder="1" applyAlignment="1">
      <alignment horizontal="center" wrapText="1"/>
    </xf>
    <xf numFmtId="0" fontId="0" fillId="0" borderId="76" xfId="0" applyBorder="1" applyAlignment="1">
      <alignment wrapText="1"/>
    </xf>
    <xf numFmtId="0" fontId="56" fillId="4" borderId="61" xfId="4" applyFont="1" applyFill="1" applyBorder="1" applyAlignment="1" applyProtection="1">
      <alignment horizontal="center"/>
      <protection locked="0"/>
    </xf>
    <xf numFmtId="0" fontId="56" fillId="4" borderId="14" xfId="4" applyFont="1" applyFill="1" applyBorder="1" applyAlignment="1" applyProtection="1">
      <alignment horizontal="center"/>
      <protection locked="0"/>
    </xf>
    <xf numFmtId="0" fontId="56" fillId="4" borderId="46" xfId="4" applyFont="1" applyFill="1" applyBorder="1" applyAlignment="1" applyProtection="1">
      <alignment horizontal="center"/>
    </xf>
    <xf numFmtId="0" fontId="56" fillId="4" borderId="47" xfId="4" applyFont="1" applyFill="1" applyBorder="1" applyAlignment="1" applyProtection="1">
      <alignment horizontal="center"/>
    </xf>
    <xf numFmtId="0" fontId="56" fillId="4" borderId="45" xfId="4" applyFont="1" applyFill="1" applyBorder="1" applyAlignment="1" applyProtection="1">
      <alignment horizontal="center"/>
      <protection locked="0"/>
    </xf>
    <xf numFmtId="0" fontId="56" fillId="4" borderId="43" xfId="4" applyFont="1" applyFill="1" applyBorder="1" applyAlignment="1" applyProtection="1">
      <alignment horizontal="center"/>
      <protection locked="0"/>
    </xf>
    <xf numFmtId="0" fontId="56" fillId="4" borderId="54" xfId="4" applyFont="1" applyFill="1" applyBorder="1" applyAlignment="1" applyProtection="1">
      <alignment horizontal="center"/>
    </xf>
    <xf numFmtId="0" fontId="56" fillId="0" borderId="29" xfId="4" applyFont="1" applyBorder="1" applyAlignment="1" applyProtection="1">
      <alignment horizontal="center"/>
    </xf>
    <xf numFmtId="0" fontId="56" fillId="0" borderId="29" xfId="4" applyFont="1" applyBorder="1" applyAlignment="1" applyProtection="1">
      <alignment horizontal="center"/>
      <protection locked="0"/>
    </xf>
    <xf numFmtId="0" fontId="56" fillId="0" borderId="24" xfId="4" applyFont="1" applyBorder="1" applyAlignment="1" applyProtection="1">
      <alignment horizontal="center"/>
      <protection locked="0"/>
    </xf>
    <xf numFmtId="4" fontId="0" fillId="0" borderId="33" xfId="0" applyNumberFormat="1" applyBorder="1"/>
    <xf numFmtId="4" fontId="0" fillId="0" borderId="42" xfId="0" applyNumberFormat="1" applyBorder="1"/>
    <xf numFmtId="4" fontId="0" fillId="0" borderId="29" xfId="0" applyNumberFormat="1" applyBorder="1"/>
    <xf numFmtId="4" fontId="0" fillId="0" borderId="24" xfId="0" applyNumberFormat="1" applyBorder="1"/>
    <xf numFmtId="4" fontId="0" fillId="0" borderId="34" xfId="0" applyNumberFormat="1" applyBorder="1"/>
    <xf numFmtId="4" fontId="0" fillId="0" borderId="35" xfId="0" applyNumberFormat="1" applyBorder="1"/>
    <xf numFmtId="4" fontId="0" fillId="0" borderId="0" xfId="0" applyNumberFormat="1"/>
    <xf numFmtId="4" fontId="7" fillId="0" borderId="34" xfId="0" applyNumberFormat="1" applyFont="1" applyBorder="1"/>
    <xf numFmtId="4" fontId="7" fillId="0" borderId="35" xfId="0" applyNumberFormat="1" applyFont="1" applyBorder="1"/>
    <xf numFmtId="0" fontId="55" fillId="13" borderId="49" xfId="4" applyFill="1" applyBorder="1" applyProtection="1"/>
    <xf numFmtId="0" fontId="55" fillId="13" borderId="40" xfId="4" applyFill="1" applyBorder="1" applyProtection="1"/>
    <xf numFmtId="0" fontId="55" fillId="0" borderId="0" xfId="4" applyBorder="1" applyProtection="1"/>
    <xf numFmtId="0" fontId="55" fillId="13" borderId="27" xfId="4" applyFill="1" applyBorder="1" applyProtection="1"/>
    <xf numFmtId="0" fontId="55" fillId="13" borderId="38" xfId="4" applyFill="1" applyBorder="1" applyProtection="1"/>
    <xf numFmtId="0" fontId="55" fillId="13" borderId="39" xfId="4" applyFill="1" applyBorder="1" applyProtection="1"/>
    <xf numFmtId="0" fontId="55" fillId="13" borderId="29" xfId="4" applyFill="1" applyBorder="1" applyProtection="1"/>
    <xf numFmtId="0" fontId="55" fillId="13" borderId="34" xfId="4" applyFill="1" applyBorder="1" applyProtection="1"/>
    <xf numFmtId="0" fontId="55" fillId="13" borderId="35" xfId="4" applyFill="1" applyBorder="1" applyProtection="1"/>
    <xf numFmtId="0" fontId="55" fillId="13" borderId="36" xfId="4" applyFill="1" applyBorder="1" applyProtection="1"/>
    <xf numFmtId="0" fontId="55" fillId="13" borderId="28" xfId="4" applyFill="1" applyBorder="1" applyProtection="1"/>
    <xf numFmtId="0" fontId="55" fillId="13" borderId="37" xfId="4" applyFill="1" applyBorder="1" applyProtection="1"/>
    <xf numFmtId="0" fontId="55" fillId="13" borderId="68" xfId="4" applyFill="1" applyBorder="1" applyProtection="1"/>
    <xf numFmtId="0" fontId="55" fillId="13" borderId="13" xfId="4" applyFill="1" applyBorder="1" applyProtection="1"/>
    <xf numFmtId="0" fontId="55" fillId="13" borderId="61" xfId="4" applyFill="1" applyBorder="1" applyProtection="1"/>
    <xf numFmtId="0" fontId="56" fillId="13" borderId="55" xfId="4" applyFont="1" applyFill="1" applyBorder="1" applyAlignment="1" applyProtection="1">
      <alignment horizontal="center"/>
    </xf>
    <xf numFmtId="0" fontId="0" fillId="0" borderId="0" xfId="0" applyFill="1" applyBorder="1" applyProtection="1">
      <protection locked="0"/>
    </xf>
    <xf numFmtId="0" fontId="59" fillId="14" borderId="52" xfId="0" applyFont="1" applyFill="1" applyBorder="1" applyProtection="1">
      <protection locked="0"/>
    </xf>
    <xf numFmtId="0" fontId="59" fillId="14" borderId="44" xfId="0" applyFont="1" applyFill="1" applyBorder="1" applyProtection="1">
      <protection locked="0"/>
    </xf>
    <xf numFmtId="0" fontId="59" fillId="0" borderId="0" xfId="0" applyFont="1" applyFill="1" applyBorder="1" applyAlignment="1" applyProtection="1">
      <alignment wrapText="1"/>
      <protection locked="0"/>
    </xf>
    <xf numFmtId="0" fontId="60" fillId="18" borderId="33" xfId="0" applyFont="1" applyFill="1" applyBorder="1" applyAlignment="1" applyProtection="1">
      <alignment wrapText="1"/>
      <protection locked="0"/>
    </xf>
    <xf numFmtId="0" fontId="60" fillId="18" borderId="42" xfId="0" applyFont="1" applyFill="1" applyBorder="1" applyAlignment="1" applyProtection="1">
      <alignment wrapText="1"/>
      <protection locked="0"/>
    </xf>
    <xf numFmtId="0" fontId="60" fillId="18" borderId="62" xfId="0" applyFont="1" applyFill="1" applyBorder="1" applyAlignment="1" applyProtection="1">
      <alignment wrapText="1"/>
      <protection locked="0"/>
    </xf>
    <xf numFmtId="1" fontId="60" fillId="0" borderId="0" xfId="0" applyNumberFormat="1" applyFont="1" applyFill="1" applyBorder="1" applyAlignment="1" applyProtection="1">
      <alignment wrapText="1"/>
      <protection locked="0"/>
    </xf>
    <xf numFmtId="1" fontId="0" fillId="0" borderId="0" xfId="0" applyNumberFormat="1" applyFill="1" applyBorder="1" applyAlignment="1" applyProtection="1">
      <alignment wrapText="1"/>
      <protection locked="0"/>
    </xf>
    <xf numFmtId="1" fontId="0" fillId="0" borderId="0" xfId="0" applyNumberForma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60" fillId="18" borderId="29" xfId="0" applyFont="1" applyFill="1" applyBorder="1" applyAlignment="1" applyProtection="1">
      <protection locked="0"/>
    </xf>
    <xf numFmtId="0" fontId="60" fillId="18" borderId="24" xfId="0" applyFont="1" applyFill="1" applyBorder="1" applyAlignment="1" applyProtection="1">
      <alignment wrapText="1"/>
      <protection locked="0"/>
    </xf>
    <xf numFmtId="0" fontId="60" fillId="18" borderId="30" xfId="0" applyFont="1" applyFill="1" applyBorder="1" applyAlignment="1" applyProtection="1">
      <alignment wrapText="1"/>
      <protection locked="0"/>
    </xf>
    <xf numFmtId="9" fontId="60" fillId="0" borderId="25" xfId="0" applyNumberFormat="1" applyFont="1" applyFill="1" applyBorder="1" applyAlignment="1" applyProtection="1">
      <protection locked="0"/>
    </xf>
    <xf numFmtId="1" fontId="0" fillId="0" borderId="0" xfId="0" applyNumberFormat="1" applyFill="1" applyBorder="1" applyAlignment="1" applyProtection="1">
      <protection locked="0"/>
    </xf>
    <xf numFmtId="1" fontId="0" fillId="0" borderId="0" xfId="0" applyNumberFormat="1" applyAlignment="1" applyProtection="1">
      <protection locked="0"/>
    </xf>
    <xf numFmtId="0" fontId="0" fillId="0" borderId="0" xfId="0" applyAlignment="1" applyProtection="1">
      <protection locked="0"/>
    </xf>
    <xf numFmtId="0" fontId="60" fillId="18" borderId="29" xfId="0" applyFont="1" applyFill="1" applyBorder="1" applyAlignment="1" applyProtection="1">
      <alignment wrapText="1"/>
      <protection locked="0"/>
    </xf>
    <xf numFmtId="0" fontId="60" fillId="18" borderId="25" xfId="0" applyFont="1" applyFill="1" applyBorder="1" applyAlignment="1" applyProtection="1">
      <alignment wrapText="1"/>
      <protection locked="0"/>
    </xf>
    <xf numFmtId="1" fontId="60" fillId="18" borderId="30" xfId="0" applyNumberFormat="1" applyFont="1" applyFill="1" applyBorder="1" applyAlignment="1" applyProtection="1">
      <alignment wrapText="1"/>
      <protection locked="0"/>
    </xf>
    <xf numFmtId="0" fontId="60" fillId="0" borderId="29" xfId="0" applyFont="1" applyBorder="1" applyAlignment="1" applyProtection="1">
      <alignment wrapText="1"/>
      <protection locked="0"/>
    </xf>
    <xf numFmtId="0" fontId="60" fillId="0" borderId="24" xfId="0" applyFont="1" applyBorder="1" applyAlignment="1" applyProtection="1">
      <alignment wrapText="1"/>
      <protection locked="0"/>
    </xf>
    <xf numFmtId="0" fontId="60" fillId="0" borderId="30" xfId="0" applyFont="1" applyBorder="1" applyAlignment="1" applyProtection="1">
      <alignment wrapText="1"/>
      <protection locked="0"/>
    </xf>
    <xf numFmtId="0" fontId="60" fillId="0" borderId="25" xfId="0" applyFont="1" applyBorder="1" applyAlignment="1" applyProtection="1">
      <alignment wrapText="1"/>
      <protection locked="0"/>
    </xf>
    <xf numFmtId="1" fontId="60" fillId="0" borderId="30" xfId="0" applyNumberFormat="1" applyFont="1" applyBorder="1" applyAlignment="1" applyProtection="1">
      <alignment wrapText="1"/>
      <protection locked="0"/>
    </xf>
    <xf numFmtId="0" fontId="60" fillId="18" borderId="69" xfId="0" applyFont="1" applyFill="1" applyBorder="1" applyAlignment="1" applyProtection="1">
      <alignment vertical="center" wrapText="1"/>
      <protection locked="0"/>
    </xf>
    <xf numFmtId="43" fontId="60" fillId="18" borderId="25" xfId="0" applyNumberFormat="1" applyFont="1" applyFill="1" applyBorder="1" applyAlignment="1" applyProtection="1">
      <alignment wrapText="1"/>
      <protection locked="0"/>
    </xf>
    <xf numFmtId="0" fontId="60" fillId="0" borderId="31" xfId="0" applyFont="1" applyBorder="1" applyAlignment="1" applyProtection="1">
      <alignment wrapText="1"/>
      <protection locked="0"/>
    </xf>
    <xf numFmtId="0" fontId="60" fillId="0" borderId="50" xfId="0" applyFont="1" applyBorder="1" applyAlignment="1" applyProtection="1">
      <alignment wrapText="1"/>
      <protection locked="0"/>
    </xf>
    <xf numFmtId="0" fontId="60" fillId="0" borderId="76" xfId="0" applyFont="1" applyBorder="1" applyAlignment="1" applyProtection="1">
      <alignment wrapText="1"/>
      <protection locked="0"/>
    </xf>
    <xf numFmtId="0" fontId="60" fillId="0" borderId="85" xfId="0" applyFont="1" applyBorder="1" applyAlignment="1" applyProtection="1">
      <alignment wrapText="1"/>
      <protection locked="0"/>
    </xf>
    <xf numFmtId="0" fontId="0" fillId="13" borderId="47" xfId="0" applyFill="1" applyBorder="1" applyProtection="1">
      <protection locked="0"/>
    </xf>
    <xf numFmtId="0" fontId="0" fillId="13" borderId="48" xfId="0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1" fontId="0" fillId="13" borderId="35" xfId="0" applyNumberFormat="1" applyFill="1" applyBorder="1" applyAlignment="1" applyProtection="1">
      <alignment horizontal="center"/>
    </xf>
    <xf numFmtId="1" fontId="0" fillId="13" borderId="36" xfId="0" applyNumberFormat="1" applyFill="1" applyBorder="1" applyAlignment="1" applyProtection="1">
      <alignment horizontal="center"/>
    </xf>
    <xf numFmtId="0" fontId="56" fillId="13" borderId="59" xfId="4" applyFont="1" applyFill="1" applyBorder="1" applyAlignment="1" applyProtection="1">
      <alignment horizontal="center"/>
    </xf>
    <xf numFmtId="0" fontId="7" fillId="13" borderId="10" xfId="0" applyFont="1" applyFill="1" applyBorder="1" applyAlignment="1" applyProtection="1">
      <alignment horizontal="center"/>
      <protection locked="0"/>
    </xf>
    <xf numFmtId="0" fontId="60" fillId="22" borderId="73" xfId="0" applyFont="1" applyFill="1" applyBorder="1" applyAlignment="1" applyProtection="1">
      <alignment wrapText="1"/>
    </xf>
    <xf numFmtId="1" fontId="60" fillId="21" borderId="62" xfId="0" applyNumberFormat="1" applyFont="1" applyFill="1" applyBorder="1" applyAlignment="1" applyProtection="1">
      <alignment wrapText="1"/>
    </xf>
    <xf numFmtId="1" fontId="60" fillId="21" borderId="30" xfId="0" applyNumberFormat="1" applyFont="1" applyFill="1" applyBorder="1" applyAlignment="1" applyProtection="1"/>
    <xf numFmtId="1" fontId="60" fillId="21" borderId="30" xfId="0" applyNumberFormat="1" applyFont="1" applyFill="1" applyBorder="1" applyAlignment="1" applyProtection="1">
      <alignment wrapText="1"/>
    </xf>
    <xf numFmtId="169" fontId="60" fillId="21" borderId="30" xfId="0" applyNumberFormat="1" applyFont="1" applyFill="1" applyBorder="1" applyAlignment="1" applyProtection="1">
      <alignment wrapText="1"/>
    </xf>
    <xf numFmtId="0" fontId="60" fillId="21" borderId="30" xfId="0" applyFont="1" applyFill="1" applyBorder="1" applyAlignment="1" applyProtection="1">
      <alignment wrapText="1"/>
    </xf>
    <xf numFmtId="0" fontId="7" fillId="13" borderId="46" xfId="0" applyFont="1" applyFill="1" applyBorder="1" applyProtection="1">
      <protection locked="0"/>
    </xf>
    <xf numFmtId="0" fontId="7" fillId="0" borderId="48" xfId="0" applyFont="1" applyBorder="1" applyProtection="1">
      <protection locked="0"/>
    </xf>
    <xf numFmtId="0" fontId="0" fillId="0" borderId="0" xfId="0" applyProtection="1"/>
    <xf numFmtId="0" fontId="7" fillId="14" borderId="38" xfId="0" applyFont="1" applyFill="1" applyBorder="1" applyProtection="1"/>
    <xf numFmtId="0" fontId="7" fillId="14" borderId="39" xfId="0" applyFont="1" applyFill="1" applyBorder="1" applyProtection="1"/>
    <xf numFmtId="0" fontId="0" fillId="13" borderId="24" xfId="0" applyFill="1" applyBorder="1" applyProtection="1"/>
    <xf numFmtId="9" fontId="0" fillId="13" borderId="24" xfId="2" applyFont="1" applyFill="1" applyBorder="1" applyProtection="1"/>
    <xf numFmtId="169" fontId="0" fillId="13" borderId="35" xfId="0" applyNumberFormat="1" applyFill="1" applyBorder="1" applyProtection="1"/>
    <xf numFmtId="0" fontId="56" fillId="0" borderId="33" xfId="4" applyFont="1" applyBorder="1" applyAlignment="1" applyProtection="1">
      <alignment horizontal="center"/>
    </xf>
    <xf numFmtId="0" fontId="55" fillId="0" borderId="42" xfId="4" applyBorder="1" applyAlignment="1" applyProtection="1">
      <alignment horizontal="center"/>
    </xf>
    <xf numFmtId="165" fontId="0" fillId="0" borderId="0" xfId="1" applyNumberFormat="1" applyFont="1" applyProtection="1"/>
    <xf numFmtId="0" fontId="55" fillId="0" borderId="24" xfId="4" applyBorder="1" applyAlignment="1" applyProtection="1">
      <alignment horizontal="center"/>
    </xf>
    <xf numFmtId="164" fontId="0" fillId="0" borderId="0" xfId="1" applyFont="1" applyProtection="1"/>
    <xf numFmtId="169" fontId="0" fillId="0" borderId="0" xfId="0" applyNumberFormat="1" applyProtection="1"/>
    <xf numFmtId="0" fontId="56" fillId="0" borderId="31" xfId="4" applyFont="1" applyBorder="1" applyAlignment="1" applyProtection="1">
      <alignment horizontal="center"/>
    </xf>
    <xf numFmtId="0" fontId="55" fillId="0" borderId="50" xfId="4" applyBorder="1" applyAlignment="1" applyProtection="1">
      <alignment horizontal="center"/>
    </xf>
    <xf numFmtId="0" fontId="56" fillId="0" borderId="56" xfId="4" applyFont="1" applyBorder="1" applyAlignment="1" applyProtection="1"/>
    <xf numFmtId="0" fontId="56" fillId="0" borderId="42" xfId="4" applyFont="1" applyBorder="1" applyAlignment="1" applyProtection="1"/>
    <xf numFmtId="0" fontId="56" fillId="0" borderId="67" xfId="4" applyFont="1" applyBorder="1" applyAlignment="1" applyProtection="1"/>
    <xf numFmtId="0" fontId="56" fillId="0" borderId="24" xfId="4" applyFont="1" applyBorder="1" applyAlignment="1" applyProtection="1"/>
    <xf numFmtId="0" fontId="56" fillId="0" borderId="49" xfId="4" applyFont="1" applyBorder="1" applyAlignment="1" applyProtection="1"/>
    <xf numFmtId="0" fontId="56" fillId="0" borderId="35" xfId="4" applyFont="1" applyBorder="1" applyAlignment="1" applyProtection="1"/>
    <xf numFmtId="165" fontId="0" fillId="16" borderId="0" xfId="1" applyNumberFormat="1" applyFont="1" applyFill="1" applyProtection="1">
      <protection locked="0"/>
    </xf>
    <xf numFmtId="165" fontId="13" fillId="16" borderId="0" xfId="1" applyNumberFormat="1" applyFont="1" applyFill="1" applyProtection="1">
      <protection locked="0"/>
    </xf>
    <xf numFmtId="165" fontId="13" fillId="0" borderId="0" xfId="1" applyNumberFormat="1" applyFont="1" applyProtection="1">
      <protection locked="0"/>
    </xf>
    <xf numFmtId="165" fontId="30" fillId="0" borderId="0" xfId="1" applyNumberFormat="1" applyFont="1" applyProtection="1">
      <protection locked="0"/>
    </xf>
    <xf numFmtId="165" fontId="13" fillId="16" borderId="0" xfId="1" applyNumberFormat="1" applyFont="1" applyFill="1" applyBorder="1" applyProtection="1">
      <protection locked="0"/>
    </xf>
    <xf numFmtId="165" fontId="18" fillId="16" borderId="0" xfId="1" applyNumberFormat="1" applyFont="1" applyFill="1" applyProtection="1">
      <protection locked="0"/>
    </xf>
    <xf numFmtId="165" fontId="23" fillId="16" borderId="7" xfId="1" applyNumberFormat="1" applyFont="1" applyFill="1" applyBorder="1" applyProtection="1">
      <protection locked="0"/>
    </xf>
    <xf numFmtId="165" fontId="23" fillId="16" borderId="0" xfId="1" applyNumberFormat="1" applyFont="1" applyFill="1" applyBorder="1" applyProtection="1">
      <protection locked="0"/>
    </xf>
    <xf numFmtId="165" fontId="23" fillId="16" borderId="8" xfId="1" applyNumberFormat="1" applyFont="1" applyFill="1" applyBorder="1" applyProtection="1">
      <protection locked="0"/>
    </xf>
    <xf numFmtId="0" fontId="9" fillId="0" borderId="0" xfId="0" applyFont="1" applyProtection="1"/>
    <xf numFmtId="0" fontId="11" fillId="0" borderId="0" xfId="0" applyFont="1" applyProtection="1"/>
    <xf numFmtId="0" fontId="0" fillId="8" borderId="0" xfId="0" applyFont="1" applyFill="1" applyProtection="1"/>
    <xf numFmtId="0" fontId="0" fillId="0" borderId="0" xfId="0" applyFill="1" applyProtection="1"/>
    <xf numFmtId="0" fontId="54" fillId="0" borderId="0" xfId="0" applyFont="1" applyFill="1" applyProtection="1"/>
    <xf numFmtId="0" fontId="7" fillId="0" borderId="0" xfId="0" applyFont="1" applyProtection="1"/>
    <xf numFmtId="0" fontId="26" fillId="0" borderId="0" xfId="0" applyFont="1" applyProtection="1"/>
    <xf numFmtId="165" fontId="14" fillId="0" borderId="0" xfId="0" applyNumberFormat="1" applyFont="1" applyAlignment="1" applyProtection="1">
      <alignment horizontal="center"/>
    </xf>
    <xf numFmtId="165" fontId="0" fillId="0" borderId="0" xfId="0" applyNumberFormat="1" applyProtection="1"/>
    <xf numFmtId="0" fontId="22" fillId="0" borderId="0" xfId="0" applyFont="1" applyProtection="1"/>
    <xf numFmtId="0" fontId="5" fillId="3" borderId="0" xfId="0" applyFont="1" applyFill="1" applyProtection="1"/>
    <xf numFmtId="0" fontId="8" fillId="3" borderId="0" xfId="0" applyFont="1" applyFill="1" applyProtection="1"/>
    <xf numFmtId="167" fontId="39" fillId="5" borderId="17" xfId="3" applyNumberFormat="1" applyFont="1" applyFill="1" applyBorder="1" applyProtection="1"/>
    <xf numFmtId="167" fontId="5" fillId="3" borderId="0" xfId="0" applyNumberFormat="1" applyFont="1" applyFill="1" applyProtection="1"/>
    <xf numFmtId="15" fontId="5" fillId="3" borderId="0" xfId="0" applyNumberFormat="1" applyFont="1" applyFill="1" applyAlignment="1" applyProtection="1">
      <alignment horizontal="center"/>
    </xf>
    <xf numFmtId="0" fontId="7" fillId="0" borderId="0" xfId="0" applyFont="1" applyAlignment="1" applyProtection="1"/>
    <xf numFmtId="0" fontId="27" fillId="0" borderId="0" xfId="0" applyFont="1" applyAlignment="1" applyProtection="1">
      <alignment horizontal="left"/>
    </xf>
    <xf numFmtId="43" fontId="0" fillId="0" borderId="0" xfId="0" applyNumberFormat="1" applyFill="1" applyProtection="1"/>
    <xf numFmtId="0" fontId="29" fillId="0" borderId="0" xfId="0" applyFont="1" applyAlignment="1" applyProtection="1">
      <alignment horizontal="left" vertical="center" indent="2"/>
    </xf>
    <xf numFmtId="166" fontId="14" fillId="0" borderId="0" xfId="2" applyNumberFormat="1" applyFont="1" applyFill="1" applyAlignment="1" applyProtection="1">
      <alignment vertical="center"/>
    </xf>
    <xf numFmtId="0" fontId="51" fillId="0" borderId="0" xfId="0" applyFont="1" applyFill="1" applyAlignment="1" applyProtection="1">
      <alignment vertical="center"/>
    </xf>
    <xf numFmtId="165" fontId="30" fillId="0" borderId="0" xfId="1" applyNumberFormat="1" applyFont="1" applyProtection="1"/>
    <xf numFmtId="165" fontId="7" fillId="0" borderId="0" xfId="1" applyNumberFormat="1" applyFont="1" applyProtection="1"/>
    <xf numFmtId="0" fontId="31" fillId="0" borderId="0" xfId="0" applyFont="1" applyProtection="1"/>
    <xf numFmtId="0" fontId="11" fillId="0" borderId="0" xfId="0" applyFont="1" applyFill="1" applyProtection="1"/>
    <xf numFmtId="0" fontId="7" fillId="0" borderId="1" xfId="0" applyFont="1" applyBorder="1" applyAlignment="1" applyProtection="1">
      <alignment horizontal="left"/>
    </xf>
    <xf numFmtId="0" fontId="0" fillId="0" borderId="1" xfId="0" applyBorder="1" applyProtection="1"/>
    <xf numFmtId="165" fontId="10" fillId="0" borderId="1" xfId="1" applyNumberFormat="1" applyFont="1" applyBorder="1" applyProtection="1"/>
    <xf numFmtId="165" fontId="10" fillId="0" borderId="1" xfId="1" applyNumberFormat="1" applyFont="1" applyFill="1" applyBorder="1" applyProtection="1"/>
    <xf numFmtId="168" fontId="10" fillId="0" borderId="1" xfId="1" applyNumberFormat="1" applyFont="1" applyFill="1" applyBorder="1" applyProtection="1"/>
    <xf numFmtId="165" fontId="3" fillId="0" borderId="0" xfId="1" applyNumberFormat="1" applyFont="1" applyProtection="1"/>
    <xf numFmtId="165" fontId="3" fillId="0" borderId="0" xfId="1" applyNumberFormat="1" applyFont="1" applyFill="1" applyProtection="1"/>
    <xf numFmtId="165" fontId="0" fillId="0" borderId="0" xfId="1" applyNumberFormat="1" applyFont="1" applyFill="1" applyProtection="1"/>
    <xf numFmtId="0" fontId="15" fillId="0" borderId="0" xfId="0" applyFont="1" applyAlignment="1" applyProtection="1">
      <alignment horizontal="center"/>
    </xf>
    <xf numFmtId="0" fontId="38" fillId="0" borderId="18" xfId="0" applyFont="1" applyBorder="1" applyAlignment="1" applyProtection="1">
      <alignment horizontal="left"/>
    </xf>
    <xf numFmtId="9" fontId="32" fillId="0" borderId="19" xfId="0" applyNumberFormat="1" applyFont="1" applyFill="1" applyBorder="1" applyProtection="1"/>
    <xf numFmtId="0" fontId="0" fillId="0" borderId="19" xfId="0" applyFill="1" applyBorder="1" applyProtection="1"/>
    <xf numFmtId="0" fontId="14" fillId="0" borderId="0" xfId="0" applyFont="1" applyAlignment="1" applyProtection="1">
      <alignment horizontal="left" indent="1"/>
    </xf>
    <xf numFmtId="0" fontId="17" fillId="0" borderId="0" xfId="0" applyFont="1" applyAlignment="1" applyProtection="1">
      <alignment horizontal="right"/>
    </xf>
    <xf numFmtId="0" fontId="21" fillId="0" borderId="0" xfId="0" applyFont="1" applyFill="1" applyAlignment="1" applyProtection="1">
      <alignment horizontal="right"/>
    </xf>
    <xf numFmtId="0" fontId="38" fillId="0" borderId="20" xfId="0" applyFont="1" applyBorder="1" applyAlignment="1" applyProtection="1">
      <alignment horizontal="left"/>
    </xf>
    <xf numFmtId="0" fontId="0" fillId="0" borderId="0" xfId="0" applyFill="1" applyBorder="1" applyProtection="1"/>
    <xf numFmtId="9" fontId="32" fillId="0" borderId="0" xfId="0" applyNumberFormat="1" applyFont="1" applyFill="1" applyBorder="1" applyProtection="1"/>
    <xf numFmtId="0" fontId="38" fillId="0" borderId="21" xfId="0" applyFont="1" applyBorder="1" applyAlignment="1" applyProtection="1">
      <alignment horizontal="left"/>
    </xf>
    <xf numFmtId="9" fontId="32" fillId="0" borderId="22" xfId="0" applyNumberFormat="1" applyFont="1" applyFill="1" applyBorder="1" applyProtection="1"/>
    <xf numFmtId="0" fontId="0" fillId="0" borderId="22" xfId="0" applyFill="1" applyBorder="1" applyProtection="1"/>
    <xf numFmtId="166" fontId="20" fillId="0" borderId="0" xfId="2" applyNumberFormat="1" applyFont="1" applyFill="1" applyProtection="1"/>
    <xf numFmtId="166" fontId="3" fillId="0" borderId="0" xfId="2" applyNumberFormat="1" applyFont="1" applyProtection="1"/>
    <xf numFmtId="9" fontId="33" fillId="0" borderId="0" xfId="0" applyNumberFormat="1" applyFont="1" applyFill="1" applyProtection="1"/>
    <xf numFmtId="9" fontId="16" fillId="0" borderId="0" xfId="0" applyNumberFormat="1" applyFont="1" applyProtection="1"/>
    <xf numFmtId="0" fontId="10" fillId="0" borderId="0" xfId="0" applyFont="1" applyAlignment="1" applyProtection="1">
      <alignment horizontal="left" indent="1"/>
    </xf>
    <xf numFmtId="165" fontId="10" fillId="0" borderId="0" xfId="1" applyNumberFormat="1" applyFont="1" applyProtection="1"/>
    <xf numFmtId="165" fontId="10" fillId="0" borderId="0" xfId="1" applyNumberFormat="1" applyFont="1" applyFill="1" applyProtection="1"/>
    <xf numFmtId="0" fontId="13" fillId="0" borderId="0" xfId="0" applyFont="1" applyAlignment="1" applyProtection="1">
      <alignment horizontal="left" indent="2"/>
    </xf>
    <xf numFmtId="165" fontId="13" fillId="0" borderId="0" xfId="1" applyNumberFormat="1" applyFont="1" applyFill="1" applyProtection="1"/>
    <xf numFmtId="165" fontId="10" fillId="0" borderId="0" xfId="1" applyNumberFormat="1" applyFont="1" applyBorder="1" applyProtection="1"/>
    <xf numFmtId="165" fontId="13" fillId="0" borderId="0" xfId="1" applyNumberFormat="1" applyFont="1" applyProtection="1"/>
    <xf numFmtId="165" fontId="10" fillId="13" borderId="0" xfId="1" applyNumberFormat="1" applyFont="1" applyFill="1" applyProtection="1"/>
    <xf numFmtId="10" fontId="17" fillId="0" borderId="0" xfId="2" applyNumberFormat="1" applyFont="1" applyAlignment="1" applyProtection="1">
      <alignment horizontal="right"/>
    </xf>
    <xf numFmtId="0" fontId="14" fillId="0" borderId="0" xfId="0" applyFont="1" applyProtection="1"/>
    <xf numFmtId="0" fontId="35" fillId="0" borderId="0" xfId="0" applyFont="1" applyAlignment="1" applyProtection="1">
      <alignment horizontal="center"/>
    </xf>
    <xf numFmtId="10" fontId="20" fillId="0" borderId="0" xfId="2" applyNumberFormat="1" applyFont="1" applyFill="1" applyProtection="1"/>
    <xf numFmtId="0" fontId="13" fillId="0" borderId="0" xfId="0" applyFont="1" applyAlignment="1" applyProtection="1">
      <alignment horizontal="left" vertical="center" indent="2"/>
    </xf>
    <xf numFmtId="0" fontId="34" fillId="0" borderId="0" xfId="0" applyFont="1" applyProtection="1"/>
    <xf numFmtId="166" fontId="27" fillId="0" borderId="0" xfId="0" applyNumberFormat="1" applyFont="1" applyFill="1" applyAlignment="1" applyProtection="1">
      <alignment vertical="center"/>
    </xf>
    <xf numFmtId="165" fontId="37" fillId="0" borderId="0" xfId="1" applyNumberFormat="1" applyFont="1" applyProtection="1"/>
    <xf numFmtId="165" fontId="13" fillId="13" borderId="0" xfId="1" applyNumberFormat="1" applyFont="1" applyFill="1" applyProtection="1"/>
    <xf numFmtId="0" fontId="7" fillId="0" borderId="2" xfId="0" applyFont="1" applyBorder="1" applyAlignment="1" applyProtection="1">
      <alignment horizontal="left" indent="1"/>
    </xf>
    <xf numFmtId="0" fontId="0" fillId="0" borderId="2" xfId="0" applyBorder="1" applyProtection="1"/>
    <xf numFmtId="165" fontId="12" fillId="0" borderId="2" xfId="1" applyNumberFormat="1" applyFont="1" applyBorder="1" applyProtection="1"/>
    <xf numFmtId="165" fontId="10" fillId="13" borderId="2" xfId="1" applyNumberFormat="1" applyFont="1" applyFill="1" applyBorder="1" applyProtection="1"/>
    <xf numFmtId="0" fontId="37" fillId="0" borderId="0" xfId="0" applyFont="1" applyAlignment="1" applyProtection="1">
      <alignment vertical="center"/>
    </xf>
    <xf numFmtId="165" fontId="14" fillId="0" borderId="0" xfId="1" applyNumberFormat="1" applyFont="1" applyProtection="1"/>
    <xf numFmtId="0" fontId="18" fillId="0" borderId="0" xfId="0" applyFont="1" applyAlignment="1" applyProtection="1">
      <alignment horizontal="left" indent="2"/>
    </xf>
    <xf numFmtId="165" fontId="12" fillId="0" borderId="1" xfId="1" applyNumberFormat="1" applyFont="1" applyBorder="1" applyProtection="1"/>
    <xf numFmtId="0" fontId="7" fillId="0" borderId="0" xfId="0" applyFont="1" applyBorder="1" applyAlignment="1" applyProtection="1">
      <alignment horizontal="left"/>
    </xf>
    <xf numFmtId="0" fontId="0" fillId="0" borderId="0" xfId="0" applyBorder="1" applyProtection="1"/>
    <xf numFmtId="165" fontId="12" fillId="0" borderId="0" xfId="1" applyNumberFormat="1" applyFont="1" applyBorder="1" applyProtection="1"/>
    <xf numFmtId="0" fontId="10" fillId="0" borderId="0" xfId="0" applyFont="1" applyAlignment="1" applyProtection="1">
      <alignment horizontal="left"/>
    </xf>
    <xf numFmtId="0" fontId="10" fillId="0" borderId="3" xfId="0" applyFont="1" applyBorder="1" applyAlignment="1" applyProtection="1">
      <alignment horizontal="left" vertical="center"/>
    </xf>
    <xf numFmtId="0" fontId="0" fillId="0" borderId="3" xfId="0" applyBorder="1" applyAlignment="1" applyProtection="1">
      <alignment vertical="center"/>
    </xf>
    <xf numFmtId="166" fontId="10" fillId="0" borderId="3" xfId="2" applyNumberFormat="1" applyFont="1" applyBorder="1" applyAlignment="1" applyProtection="1">
      <alignment vertical="center"/>
    </xf>
    <xf numFmtId="9" fontId="0" fillId="0" borderId="0" xfId="2" applyFont="1" applyAlignment="1" applyProtection="1">
      <alignment vertical="center"/>
    </xf>
    <xf numFmtId="0" fontId="0" fillId="8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10" fontId="0" fillId="0" borderId="0" xfId="2" applyNumberFormat="1" applyFont="1" applyProtection="1"/>
    <xf numFmtId="0" fontId="0" fillId="0" borderId="0" xfId="0" applyFont="1" applyAlignment="1" applyProtection="1">
      <alignment horizontal="left" indent="1"/>
    </xf>
    <xf numFmtId="165" fontId="27" fillId="0" borderId="0" xfId="1" applyNumberFormat="1" applyFont="1" applyProtection="1"/>
    <xf numFmtId="0" fontId="29" fillId="0" borderId="0" xfId="0" applyFont="1" applyFill="1" applyProtection="1"/>
    <xf numFmtId="165" fontId="19" fillId="0" borderId="0" xfId="1" applyNumberFormat="1" applyFont="1" applyProtection="1"/>
    <xf numFmtId="0" fontId="0" fillId="0" borderId="0" xfId="0" applyAlignment="1" applyProtection="1">
      <alignment horizontal="left" indent="1"/>
    </xf>
    <xf numFmtId="165" fontId="18" fillId="0" borderId="0" xfId="1" applyNumberFormat="1" applyFont="1" applyProtection="1"/>
    <xf numFmtId="0" fontId="13" fillId="0" borderId="7" xfId="0" applyFont="1" applyBorder="1" applyAlignment="1" applyProtection="1">
      <alignment horizontal="left" indent="1"/>
    </xf>
    <xf numFmtId="0" fontId="10" fillId="0" borderId="7" xfId="0" applyFont="1" applyBorder="1" applyProtection="1"/>
    <xf numFmtId="165" fontId="23" fillId="0" borderId="7" xfId="1" applyNumberFormat="1" applyFont="1" applyBorder="1" applyProtection="1"/>
    <xf numFmtId="165" fontId="0" fillId="0" borderId="0" xfId="0" applyNumberFormat="1" applyFill="1" applyProtection="1"/>
    <xf numFmtId="0" fontId="13" fillId="0" borderId="0" xfId="0" applyFont="1" applyBorder="1" applyAlignment="1" applyProtection="1">
      <alignment horizontal="left" indent="1"/>
    </xf>
    <xf numFmtId="0" fontId="10" fillId="0" borderId="0" xfId="0" applyFont="1" applyBorder="1" applyProtection="1"/>
    <xf numFmtId="166" fontId="15" fillId="0" borderId="0" xfId="2" applyNumberFormat="1" applyFont="1" applyFill="1" applyBorder="1" applyAlignment="1" applyProtection="1">
      <alignment horizontal="right"/>
    </xf>
    <xf numFmtId="0" fontId="29" fillId="0" borderId="0" xfId="0" applyFont="1" applyFill="1" applyBorder="1" applyProtection="1"/>
    <xf numFmtId="0" fontId="27" fillId="0" borderId="0" xfId="0" applyFont="1" applyBorder="1" applyProtection="1"/>
    <xf numFmtId="165" fontId="23" fillId="0" borderId="0" xfId="1" applyNumberFormat="1" applyFont="1" applyBorder="1" applyProtection="1"/>
    <xf numFmtId="0" fontId="13" fillId="0" borderId="8" xfId="0" applyFont="1" applyBorder="1" applyAlignment="1" applyProtection="1">
      <alignment horizontal="left" indent="1"/>
    </xf>
    <xf numFmtId="0" fontId="10" fillId="0" borderId="8" xfId="0" applyFont="1" applyBorder="1" applyProtection="1"/>
    <xf numFmtId="0" fontId="16" fillId="0" borderId="8" xfId="0" applyFont="1" applyBorder="1" applyProtection="1"/>
    <xf numFmtId="165" fontId="16" fillId="0" borderId="8" xfId="1" applyNumberFormat="1" applyFont="1" applyBorder="1" applyProtection="1"/>
    <xf numFmtId="165" fontId="23" fillId="0" borderId="8" xfId="1" applyNumberFormat="1" applyFont="1" applyBorder="1" applyProtection="1"/>
    <xf numFmtId="0" fontId="7" fillId="0" borderId="6" xfId="0" applyFont="1" applyBorder="1" applyProtection="1"/>
    <xf numFmtId="0" fontId="0" fillId="0" borderId="6" xfId="0" applyBorder="1" applyProtection="1"/>
    <xf numFmtId="165" fontId="0" fillId="0" borderId="6" xfId="1" applyNumberFormat="1" applyFont="1" applyBorder="1" applyProtection="1"/>
    <xf numFmtId="166" fontId="12" fillId="0" borderId="6" xfId="2" applyNumberFormat="1" applyFont="1" applyBorder="1" applyProtection="1"/>
    <xf numFmtId="0" fontId="5" fillId="10" borderId="0" xfId="0" applyFont="1" applyFill="1" applyBorder="1" applyProtection="1"/>
    <xf numFmtId="0" fontId="8" fillId="10" borderId="0" xfId="0" applyFont="1" applyFill="1" applyProtection="1"/>
    <xf numFmtId="165" fontId="8" fillId="10" borderId="0" xfId="1" applyNumberFormat="1" applyFont="1" applyFill="1" applyProtection="1"/>
    <xf numFmtId="167" fontId="5" fillId="10" borderId="0" xfId="1" applyNumberFormat="1" applyFont="1" applyFill="1" applyProtection="1"/>
    <xf numFmtId="167" fontId="5" fillId="10" borderId="0" xfId="1" applyNumberFormat="1" applyFont="1" applyFill="1" applyAlignment="1" applyProtection="1">
      <alignment horizontal="center"/>
    </xf>
    <xf numFmtId="0" fontId="6" fillId="0" borderId="0" xfId="0" applyFont="1" applyProtection="1"/>
    <xf numFmtId="9" fontId="32" fillId="0" borderId="19" xfId="0" applyNumberFormat="1" applyFont="1" applyBorder="1" applyProtection="1"/>
    <xf numFmtId="9" fontId="32" fillId="0" borderId="0" xfId="0" applyNumberFormat="1" applyFont="1" applyBorder="1" applyProtection="1"/>
    <xf numFmtId="9" fontId="32" fillId="0" borderId="22" xfId="0" applyNumberFormat="1" applyFont="1" applyBorder="1" applyProtection="1"/>
    <xf numFmtId="0" fontId="31" fillId="0" borderId="0" xfId="0" applyFont="1" applyAlignment="1" applyProtection="1">
      <alignment horizontal="center" vertical="center"/>
    </xf>
    <xf numFmtId="0" fontId="52" fillId="0" borderId="0" xfId="0" applyFont="1" applyFill="1" applyBorder="1" applyProtection="1"/>
    <xf numFmtId="0" fontId="6" fillId="0" borderId="0" xfId="0" applyFont="1" applyFill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165" fontId="15" fillId="16" borderId="0" xfId="1" applyNumberFormat="1" applyFont="1" applyFill="1" applyBorder="1" applyAlignment="1" applyProtection="1">
      <alignment horizontal="right"/>
    </xf>
    <xf numFmtId="0" fontId="51" fillId="7" borderId="0" xfId="0" applyFont="1" applyFill="1" applyBorder="1" applyProtection="1"/>
    <xf numFmtId="0" fontId="7" fillId="6" borderId="4" xfId="0" applyFont="1" applyFill="1" applyBorder="1" applyAlignment="1" applyProtection="1">
      <alignment horizontal="left"/>
    </xf>
    <xf numFmtId="0" fontId="0" fillId="6" borderId="4" xfId="0" applyFill="1" applyBorder="1" applyProtection="1"/>
    <xf numFmtId="165" fontId="0" fillId="6" borderId="4" xfId="1" applyNumberFormat="1" applyFont="1" applyFill="1" applyBorder="1" applyProtection="1"/>
    <xf numFmtId="165" fontId="19" fillId="6" borderId="4" xfId="1" applyNumberFormat="1" applyFont="1" applyFill="1" applyBorder="1" applyProtection="1"/>
    <xf numFmtId="0" fontId="7" fillId="11" borderId="0" xfId="0" applyFont="1" applyFill="1" applyAlignment="1" applyProtection="1">
      <alignment horizontal="left"/>
    </xf>
    <xf numFmtId="0" fontId="0" fillId="11" borderId="0" xfId="0" applyFill="1" applyProtection="1"/>
    <xf numFmtId="165" fontId="0" fillId="11" borderId="0" xfId="1" applyNumberFormat="1" applyFont="1" applyFill="1" applyProtection="1"/>
    <xf numFmtId="165" fontId="7" fillId="11" borderId="0" xfId="1" applyNumberFormat="1" applyFont="1" applyFill="1" applyProtection="1"/>
    <xf numFmtId="0" fontId="18" fillId="0" borderId="0" xfId="0" applyFont="1" applyAlignment="1" applyProtection="1">
      <alignment horizontal="left" indent="1"/>
    </xf>
    <xf numFmtId="0" fontId="7" fillId="0" borderId="0" xfId="0" applyFont="1" applyAlignment="1" applyProtection="1">
      <alignment horizontal="left"/>
    </xf>
    <xf numFmtId="0" fontId="0" fillId="7" borderId="0" xfId="0" applyFill="1" applyProtection="1"/>
    <xf numFmtId="0" fontId="15" fillId="7" borderId="0" xfId="0" applyFont="1" applyFill="1" applyAlignment="1" applyProtection="1">
      <alignment horizontal="right"/>
    </xf>
    <xf numFmtId="166" fontId="15" fillId="7" borderId="0" xfId="2" applyNumberFormat="1" applyFont="1" applyFill="1" applyAlignment="1" applyProtection="1">
      <alignment horizontal="right"/>
    </xf>
    <xf numFmtId="0" fontId="0" fillId="16" borderId="0" xfId="0" applyFill="1" applyProtection="1"/>
    <xf numFmtId="0" fontId="19" fillId="0" borderId="0" xfId="0" applyFont="1" applyAlignment="1" applyProtection="1">
      <alignment horizontal="left"/>
    </xf>
    <xf numFmtId="0" fontId="36" fillId="7" borderId="0" xfId="0" applyFont="1" applyFill="1" applyProtection="1"/>
    <xf numFmtId="0" fontId="47" fillId="0" borderId="0" xfId="0" applyFont="1" applyAlignment="1" applyProtection="1">
      <alignment horizontal="left" indent="1"/>
    </xf>
    <xf numFmtId="0" fontId="47" fillId="0" borderId="0" xfId="0" applyFont="1" applyProtection="1"/>
    <xf numFmtId="165" fontId="47" fillId="0" borderId="0" xfId="1" applyNumberFormat="1" applyFont="1" applyProtection="1"/>
    <xf numFmtId="0" fontId="7" fillId="11" borderId="4" xfId="0" applyFont="1" applyFill="1" applyBorder="1" applyAlignment="1" applyProtection="1">
      <alignment horizontal="left"/>
    </xf>
    <xf numFmtId="0" fontId="0" fillId="11" borderId="4" xfId="0" applyFill="1" applyBorder="1" applyProtection="1"/>
    <xf numFmtId="165" fontId="0" fillId="11" borderId="4" xfId="1" applyNumberFormat="1" applyFont="1" applyFill="1" applyBorder="1" applyProtection="1"/>
    <xf numFmtId="165" fontId="7" fillId="11" borderId="4" xfId="1" applyNumberFormat="1" applyFont="1" applyFill="1" applyBorder="1" applyProtection="1"/>
    <xf numFmtId="0" fontId="5" fillId="10" borderId="5" xfId="0" applyFont="1" applyFill="1" applyBorder="1" applyAlignment="1" applyProtection="1">
      <alignment horizontal="left"/>
    </xf>
    <xf numFmtId="0" fontId="5" fillId="10" borderId="5" xfId="0" applyFont="1" applyFill="1" applyBorder="1" applyProtection="1"/>
    <xf numFmtId="165" fontId="5" fillId="10" borderId="5" xfId="1" applyNumberFormat="1" applyFont="1" applyFill="1" applyBorder="1" applyProtection="1"/>
    <xf numFmtId="0" fontId="24" fillId="0" borderId="0" xfId="0" applyFont="1" applyAlignment="1" applyProtection="1">
      <alignment horizontal="left"/>
    </xf>
    <xf numFmtId="0" fontId="25" fillId="0" borderId="0" xfId="0" applyFont="1" applyProtection="1"/>
    <xf numFmtId="165" fontId="25" fillId="0" borderId="0" xfId="1" applyNumberFormat="1" applyFont="1" applyProtection="1"/>
    <xf numFmtId="9" fontId="24" fillId="0" borderId="0" xfId="2" applyNumberFormat="1" applyFont="1" applyProtection="1"/>
    <xf numFmtId="0" fontId="23" fillId="0" borderId="0" xfId="0" applyFont="1" applyAlignment="1" applyProtection="1">
      <alignment horizontal="left"/>
    </xf>
    <xf numFmtId="166" fontId="0" fillId="0" borderId="0" xfId="2" applyNumberFormat="1" applyFont="1" applyProtection="1"/>
    <xf numFmtId="0" fontId="47" fillId="7" borderId="0" xfId="0" applyFont="1" applyFill="1" applyAlignment="1" applyProtection="1">
      <alignment horizontal="left" indent="1"/>
    </xf>
    <xf numFmtId="0" fontId="47" fillId="7" borderId="0" xfId="0" applyFont="1" applyFill="1" applyProtection="1"/>
    <xf numFmtId="165" fontId="47" fillId="7" borderId="0" xfId="1" applyNumberFormat="1" applyFont="1" applyFill="1" applyProtection="1"/>
    <xf numFmtId="0" fontId="0" fillId="7" borderId="0" xfId="0" applyFill="1" applyAlignment="1" applyProtection="1">
      <alignment horizontal="left" indent="1"/>
    </xf>
    <xf numFmtId="165" fontId="0" fillId="7" borderId="0" xfId="1" applyNumberFormat="1" applyFont="1" applyFill="1" applyProtection="1"/>
    <xf numFmtId="165" fontId="7" fillId="7" borderId="0" xfId="1" applyNumberFormat="1" applyFont="1" applyFill="1" applyProtection="1"/>
    <xf numFmtId="0" fontId="10" fillId="7" borderId="2" xfId="0" applyFont="1" applyFill="1" applyBorder="1" applyProtection="1"/>
    <xf numFmtId="165" fontId="27" fillId="7" borderId="2" xfId="1" applyNumberFormat="1" applyFont="1" applyFill="1" applyBorder="1" applyAlignment="1" applyProtection="1">
      <alignment horizontal="left"/>
    </xf>
    <xf numFmtId="165" fontId="10" fillId="7" borderId="2" xfId="1" applyNumberFormat="1" applyFont="1" applyFill="1" applyBorder="1" applyProtection="1"/>
    <xf numFmtId="0" fontId="10" fillId="7" borderId="3" xfId="0" applyFont="1" applyFill="1" applyBorder="1" applyProtection="1"/>
    <xf numFmtId="165" fontId="10" fillId="7" borderId="3" xfId="1" applyNumberFormat="1" applyFont="1" applyFill="1" applyBorder="1" applyProtection="1"/>
    <xf numFmtId="0" fontId="15" fillId="0" borderId="0" xfId="0" applyFont="1" applyProtection="1"/>
    <xf numFmtId="165" fontId="15" fillId="0" borderId="0" xfId="1" applyNumberFormat="1" applyFont="1" applyProtection="1"/>
    <xf numFmtId="164" fontId="0" fillId="0" borderId="0" xfId="1" applyNumberFormat="1" applyFont="1" applyProtection="1"/>
    <xf numFmtId="0" fontId="7" fillId="17" borderId="46" xfId="0" applyFont="1" applyFill="1" applyBorder="1" applyAlignment="1">
      <alignment horizontal="center"/>
    </xf>
    <xf numFmtId="0" fontId="7" fillId="17" borderId="48" xfId="0" applyFont="1" applyFill="1" applyBorder="1" applyAlignment="1">
      <alignment horizontal="center"/>
    </xf>
    <xf numFmtId="0" fontId="7" fillId="17" borderId="46" xfId="0" applyFont="1" applyFill="1" applyBorder="1" applyAlignment="1">
      <alignment horizontal="center" wrapText="1"/>
    </xf>
    <xf numFmtId="0" fontId="7" fillId="17" borderId="48" xfId="0" applyFont="1" applyFill="1" applyBorder="1" applyAlignment="1">
      <alignment horizontal="center" wrapText="1"/>
    </xf>
    <xf numFmtId="0" fontId="56" fillId="4" borderId="37" xfId="4" applyFont="1" applyFill="1" applyBorder="1" applyAlignment="1" applyProtection="1">
      <alignment horizontal="center" wrapText="1"/>
      <protection locked="0"/>
    </xf>
    <xf numFmtId="0" fontId="56" fillId="4" borderId="69" xfId="4" applyFont="1" applyFill="1" applyBorder="1" applyAlignment="1" applyProtection="1">
      <alignment horizontal="center" wrapText="1"/>
      <protection locked="0"/>
    </xf>
    <xf numFmtId="0" fontId="56" fillId="4" borderId="80" xfId="4" applyFont="1" applyFill="1" applyBorder="1" applyAlignment="1" applyProtection="1">
      <alignment horizontal="center" wrapText="1"/>
      <protection locked="0"/>
    </xf>
    <xf numFmtId="0" fontId="56" fillId="4" borderId="40" xfId="4" applyFont="1" applyFill="1" applyBorder="1" applyAlignment="1" applyProtection="1">
      <alignment horizontal="center" wrapText="1"/>
      <protection locked="0"/>
    </xf>
    <xf numFmtId="167" fontId="56" fillId="13" borderId="28" xfId="4" applyNumberFormat="1" applyFont="1" applyFill="1" applyBorder="1" applyAlignment="1" applyProtection="1">
      <alignment horizontal="center"/>
    </xf>
    <xf numFmtId="167" fontId="56" fillId="13" borderId="49" xfId="4" applyNumberFormat="1" applyFont="1" applyFill="1" applyBorder="1" applyAlignment="1" applyProtection="1">
      <alignment horizontal="center"/>
    </xf>
    <xf numFmtId="0" fontId="56" fillId="13" borderId="41" xfId="4" applyFont="1" applyFill="1" applyBorder="1" applyAlignment="1" applyProtection="1">
      <alignment horizontal="center"/>
    </xf>
    <xf numFmtId="0" fontId="56" fillId="13" borderId="54" xfId="4" applyFont="1" applyFill="1" applyBorder="1" applyAlignment="1" applyProtection="1">
      <alignment horizontal="center"/>
    </xf>
    <xf numFmtId="0" fontId="56" fillId="13" borderId="55" xfId="4" applyFont="1" applyFill="1" applyBorder="1" applyAlignment="1" applyProtection="1">
      <alignment horizontal="center"/>
    </xf>
    <xf numFmtId="0" fontId="56" fillId="0" borderId="31" xfId="4" applyFont="1" applyBorder="1" applyAlignment="1" applyProtection="1">
      <alignment horizontal="center" vertical="center"/>
      <protection locked="0"/>
    </xf>
    <xf numFmtId="0" fontId="56" fillId="0" borderId="33" xfId="4" applyFont="1" applyBorder="1" applyAlignment="1" applyProtection="1">
      <alignment horizontal="center" vertical="center"/>
      <protection locked="0"/>
    </xf>
    <xf numFmtId="0" fontId="56" fillId="0" borderId="32" xfId="4" applyFont="1" applyBorder="1" applyAlignment="1" applyProtection="1">
      <alignment horizontal="center" vertical="center"/>
      <protection locked="0"/>
    </xf>
    <xf numFmtId="0" fontId="56" fillId="0" borderId="43" xfId="4" applyFont="1" applyBorder="1" applyAlignment="1" applyProtection="1">
      <alignment horizontal="center" vertical="center"/>
      <protection locked="0"/>
    </xf>
    <xf numFmtId="0" fontId="56" fillId="4" borderId="60" xfId="4" applyFont="1" applyFill="1" applyBorder="1" applyAlignment="1" applyProtection="1">
      <alignment horizontal="center" wrapText="1"/>
      <protection locked="0"/>
    </xf>
    <xf numFmtId="0" fontId="56" fillId="4" borderId="70" xfId="4" applyFont="1" applyFill="1" applyBorder="1" applyAlignment="1" applyProtection="1">
      <alignment horizontal="center"/>
      <protection locked="0"/>
    </xf>
    <xf numFmtId="0" fontId="56" fillId="4" borderId="61" xfId="4" applyFont="1" applyFill="1" applyBorder="1" applyAlignment="1" applyProtection="1">
      <alignment horizontal="center"/>
      <protection locked="0"/>
    </xf>
    <xf numFmtId="0" fontId="56" fillId="4" borderId="10" xfId="4" applyFont="1" applyFill="1" applyBorder="1" applyAlignment="1" applyProtection="1">
      <alignment horizontal="center"/>
      <protection locked="0"/>
    </xf>
    <xf numFmtId="0" fontId="56" fillId="4" borderId="12" xfId="4" applyFont="1" applyFill="1" applyBorder="1" applyAlignment="1" applyProtection="1">
      <alignment horizontal="center"/>
      <protection locked="0"/>
    </xf>
    <xf numFmtId="0" fontId="56" fillId="4" borderId="14" xfId="4" applyFont="1" applyFill="1" applyBorder="1" applyAlignment="1" applyProtection="1">
      <alignment horizontal="center"/>
      <protection locked="0"/>
    </xf>
    <xf numFmtId="0" fontId="56" fillId="4" borderId="57" xfId="4" applyFont="1" applyFill="1" applyBorder="1" applyAlignment="1" applyProtection="1">
      <alignment horizontal="center"/>
      <protection locked="0"/>
    </xf>
    <xf numFmtId="0" fontId="56" fillId="4" borderId="58" xfId="4" applyFont="1" applyFill="1" applyBorder="1" applyAlignment="1" applyProtection="1">
      <alignment horizontal="center"/>
      <protection locked="0"/>
    </xf>
    <xf numFmtId="167" fontId="56" fillId="4" borderId="57" xfId="4" applyNumberFormat="1" applyFont="1" applyFill="1" applyBorder="1" applyAlignment="1" applyProtection="1">
      <alignment horizontal="center"/>
      <protection locked="0"/>
    </xf>
    <xf numFmtId="167" fontId="56" fillId="4" borderId="58" xfId="4" applyNumberFormat="1" applyFont="1" applyFill="1" applyBorder="1" applyAlignment="1" applyProtection="1">
      <alignment horizontal="center"/>
      <protection locked="0"/>
    </xf>
    <xf numFmtId="167" fontId="56" fillId="4" borderId="59" xfId="4" applyNumberFormat="1" applyFont="1" applyFill="1" applyBorder="1" applyAlignment="1" applyProtection="1">
      <alignment horizontal="center"/>
      <protection locked="0"/>
    </xf>
    <xf numFmtId="167" fontId="56" fillId="13" borderId="79" xfId="4" applyNumberFormat="1" applyFont="1" applyFill="1" applyBorder="1" applyAlignment="1" applyProtection="1">
      <alignment horizontal="center"/>
    </xf>
    <xf numFmtId="0" fontId="56" fillId="0" borderId="60" xfId="4" applyFont="1" applyBorder="1" applyAlignment="1" applyProtection="1">
      <alignment horizontal="center" vertical="center" wrapText="1"/>
      <protection locked="0"/>
    </xf>
    <xf numFmtId="0" fontId="56" fillId="0" borderId="70" xfId="4" applyFont="1" applyBorder="1" applyAlignment="1" applyProtection="1">
      <alignment horizontal="center" vertical="center" wrapText="1"/>
      <protection locked="0"/>
    </xf>
    <xf numFmtId="0" fontId="56" fillId="0" borderId="61" xfId="4" applyFont="1" applyBorder="1" applyAlignment="1" applyProtection="1">
      <alignment horizontal="center" vertical="center" wrapText="1"/>
      <protection locked="0"/>
    </xf>
    <xf numFmtId="0" fontId="56" fillId="4" borderId="46" xfId="4" applyFont="1" applyFill="1" applyBorder="1" applyAlignment="1" applyProtection="1">
      <alignment horizontal="center"/>
      <protection locked="0"/>
    </xf>
    <xf numFmtId="0" fontId="56" fillId="4" borderId="47" xfId="4" applyFont="1" applyFill="1" applyBorder="1" applyAlignment="1" applyProtection="1">
      <alignment horizontal="center"/>
      <protection locked="0"/>
    </xf>
    <xf numFmtId="0" fontId="56" fillId="4" borderId="48" xfId="4" applyFont="1" applyFill="1" applyBorder="1" applyAlignment="1" applyProtection="1">
      <alignment horizontal="center"/>
      <protection locked="0"/>
    </xf>
    <xf numFmtId="17" fontId="56" fillId="4" borderId="60" xfId="4" applyNumberFormat="1" applyFont="1" applyFill="1" applyBorder="1" applyAlignment="1" applyProtection="1">
      <alignment horizontal="center"/>
      <protection locked="0"/>
    </xf>
    <xf numFmtId="17" fontId="56" fillId="4" borderId="70" xfId="4" applyNumberFormat="1" applyFont="1" applyFill="1" applyBorder="1" applyAlignment="1" applyProtection="1">
      <alignment horizontal="center"/>
      <protection locked="0"/>
    </xf>
    <xf numFmtId="17" fontId="56" fillId="4" borderId="61" xfId="4" applyNumberFormat="1" applyFont="1" applyFill="1" applyBorder="1" applyAlignment="1" applyProtection="1">
      <alignment horizontal="center"/>
      <protection locked="0"/>
    </xf>
    <xf numFmtId="0" fontId="56" fillId="4" borderId="59" xfId="4" applyFont="1" applyFill="1" applyBorder="1" applyAlignment="1" applyProtection="1">
      <alignment horizontal="center"/>
      <protection locked="0"/>
    </xf>
    <xf numFmtId="0" fontId="56" fillId="0" borderId="56" xfId="4" applyFont="1" applyBorder="1" applyAlignment="1" applyProtection="1">
      <alignment horizontal="center"/>
      <protection locked="0"/>
    </xf>
    <xf numFmtId="0" fontId="56" fillId="0" borderId="72" xfId="4" applyFont="1" applyBorder="1" applyAlignment="1" applyProtection="1">
      <alignment horizontal="center"/>
      <protection locked="0"/>
    </xf>
    <xf numFmtId="0" fontId="56" fillId="0" borderId="67" xfId="4" applyFont="1" applyBorder="1" applyAlignment="1" applyProtection="1">
      <alignment horizontal="center"/>
      <protection locked="0"/>
    </xf>
    <xf numFmtId="0" fontId="56" fillId="0" borderId="16" xfId="4" applyFont="1" applyBorder="1" applyAlignment="1" applyProtection="1">
      <alignment horizontal="center"/>
      <protection locked="0"/>
    </xf>
    <xf numFmtId="0" fontId="56" fillId="4" borderId="46" xfId="4" applyFont="1" applyFill="1" applyBorder="1" applyAlignment="1" applyProtection="1">
      <alignment horizontal="center"/>
    </xf>
    <xf numFmtId="0" fontId="56" fillId="4" borderId="47" xfId="4" applyFont="1" applyFill="1" applyBorder="1" applyAlignment="1" applyProtection="1">
      <alignment horizontal="center"/>
    </xf>
    <xf numFmtId="0" fontId="56" fillId="4" borderId="9" xfId="4" applyFont="1" applyFill="1" applyBorder="1" applyAlignment="1" applyProtection="1">
      <alignment horizontal="center"/>
      <protection locked="0"/>
    </xf>
    <xf numFmtId="0" fontId="56" fillId="4" borderId="13" xfId="4" applyFont="1" applyFill="1" applyBorder="1" applyAlignment="1" applyProtection="1">
      <alignment horizontal="center"/>
      <protection locked="0"/>
    </xf>
    <xf numFmtId="0" fontId="56" fillId="4" borderId="55" xfId="4" applyFont="1" applyFill="1" applyBorder="1" applyAlignment="1" applyProtection="1">
      <alignment horizontal="center"/>
      <protection locked="0"/>
    </xf>
    <xf numFmtId="0" fontId="56" fillId="4" borderId="71" xfId="4" applyFont="1" applyFill="1" applyBorder="1" applyAlignment="1" applyProtection="1">
      <alignment horizontal="center"/>
      <protection locked="0"/>
    </xf>
    <xf numFmtId="0" fontId="56" fillId="4" borderId="54" xfId="4" applyFont="1" applyFill="1" applyBorder="1" applyAlignment="1" applyProtection="1">
      <alignment horizontal="center"/>
      <protection locked="0"/>
    </xf>
    <xf numFmtId="0" fontId="56" fillId="4" borderId="45" xfId="4" applyFont="1" applyFill="1" applyBorder="1" applyAlignment="1" applyProtection="1">
      <alignment horizontal="center"/>
      <protection locked="0"/>
    </xf>
    <xf numFmtId="0" fontId="56" fillId="4" borderId="41" xfId="4" applyFont="1" applyFill="1" applyBorder="1" applyAlignment="1" applyProtection="1">
      <alignment horizontal="center"/>
      <protection locked="0"/>
    </xf>
    <xf numFmtId="0" fontId="56" fillId="4" borderId="43" xfId="4" applyFont="1" applyFill="1" applyBorder="1" applyAlignment="1" applyProtection="1">
      <alignment horizontal="center"/>
      <protection locked="0"/>
    </xf>
    <xf numFmtId="0" fontId="56" fillId="4" borderId="60" xfId="4" applyFont="1" applyFill="1" applyBorder="1" applyAlignment="1" applyProtection="1">
      <alignment horizontal="center"/>
      <protection locked="0"/>
    </xf>
    <xf numFmtId="0" fontId="56" fillId="4" borderId="37" xfId="4" applyFont="1" applyFill="1" applyBorder="1" applyAlignment="1" applyProtection="1">
      <alignment horizontal="center"/>
      <protection locked="0"/>
    </xf>
    <xf numFmtId="0" fontId="56" fillId="4" borderId="40" xfId="4" applyFont="1" applyFill="1" applyBorder="1" applyAlignment="1" applyProtection="1">
      <alignment horizontal="center"/>
      <protection locked="0"/>
    </xf>
    <xf numFmtId="0" fontId="56" fillId="0" borderId="27" xfId="4" applyFont="1" applyBorder="1" applyAlignment="1" applyProtection="1">
      <alignment horizontal="center" vertical="center"/>
      <protection locked="0"/>
    </xf>
    <xf numFmtId="0" fontId="56" fillId="0" borderId="29" xfId="4" applyFont="1" applyBorder="1" applyAlignment="1" applyProtection="1">
      <alignment horizontal="center" vertical="center"/>
      <protection locked="0"/>
    </xf>
    <xf numFmtId="0" fontId="56" fillId="0" borderId="34" xfId="4" applyFont="1" applyBorder="1" applyAlignment="1" applyProtection="1">
      <alignment horizontal="center" vertical="center"/>
      <protection locked="0"/>
    </xf>
    <xf numFmtId="0" fontId="56" fillId="13" borderId="28" xfId="4" applyFont="1" applyFill="1" applyBorder="1" applyAlignment="1" applyProtection="1">
      <alignment horizontal="center"/>
      <protection locked="0"/>
    </xf>
    <xf numFmtId="0" fontId="56" fillId="13" borderId="81" xfId="4" applyFont="1" applyFill="1" applyBorder="1" applyAlignment="1" applyProtection="1">
      <alignment horizontal="center"/>
      <protection locked="0"/>
    </xf>
    <xf numFmtId="0" fontId="56" fillId="0" borderId="34" xfId="4" applyFont="1" applyBorder="1" applyAlignment="1" applyProtection="1">
      <alignment horizontal="center"/>
      <protection locked="0"/>
    </xf>
    <xf numFmtId="0" fontId="56" fillId="0" borderId="35" xfId="4" applyFont="1" applyBorder="1" applyAlignment="1" applyProtection="1">
      <alignment horizontal="center"/>
      <protection locked="0"/>
    </xf>
    <xf numFmtId="0" fontId="56" fillId="0" borderId="65" xfId="4" applyFont="1" applyBorder="1" applyAlignment="1" applyProtection="1">
      <alignment horizontal="center"/>
      <protection locked="0"/>
    </xf>
    <xf numFmtId="0" fontId="56" fillId="14" borderId="57" xfId="4" applyFont="1" applyFill="1" applyBorder="1" applyAlignment="1" applyProtection="1">
      <alignment horizontal="center"/>
      <protection locked="0"/>
    </xf>
    <xf numFmtId="0" fontId="56" fillId="14" borderId="58" xfId="4" applyFont="1" applyFill="1" applyBorder="1" applyAlignment="1" applyProtection="1">
      <alignment horizontal="center"/>
      <protection locked="0"/>
    </xf>
    <xf numFmtId="0" fontId="56" fillId="14" borderId="59" xfId="4" applyFont="1" applyFill="1" applyBorder="1" applyAlignment="1" applyProtection="1">
      <alignment horizontal="center"/>
      <protection locked="0"/>
    </xf>
    <xf numFmtId="0" fontId="56" fillId="13" borderId="67" xfId="4" applyFont="1" applyFill="1" applyBorder="1" applyAlignment="1" applyProtection="1">
      <alignment horizontal="center"/>
      <protection locked="0"/>
    </xf>
    <xf numFmtId="0" fontId="56" fillId="13" borderId="16" xfId="4" applyFont="1" applyFill="1" applyBorder="1" applyAlignment="1" applyProtection="1">
      <alignment horizontal="center"/>
      <protection locked="0"/>
    </xf>
    <xf numFmtId="0" fontId="56" fillId="0" borderId="41" xfId="4" applyFont="1" applyBorder="1" applyAlignment="1" applyProtection="1">
      <alignment horizontal="center" vertical="center"/>
      <protection locked="0"/>
    </xf>
    <xf numFmtId="0" fontId="56" fillId="4" borderId="28" xfId="4" applyFont="1" applyFill="1" applyBorder="1" applyAlignment="1" applyProtection="1">
      <alignment horizontal="center"/>
      <protection locked="0"/>
    </xf>
    <xf numFmtId="0" fontId="56" fillId="4" borderId="49" xfId="4" applyFont="1" applyFill="1" applyBorder="1" applyAlignment="1" applyProtection="1">
      <alignment horizontal="center"/>
      <protection locked="0"/>
    </xf>
    <xf numFmtId="0" fontId="7" fillId="17" borderId="46" xfId="0" applyFont="1" applyFill="1" applyBorder="1" applyAlignment="1" applyProtection="1">
      <alignment horizontal="center"/>
      <protection locked="0"/>
    </xf>
    <xf numFmtId="0" fontId="7" fillId="17" borderId="47" xfId="0" applyFont="1" applyFill="1" applyBorder="1" applyAlignment="1" applyProtection="1">
      <alignment horizontal="center"/>
      <protection locked="0"/>
    </xf>
    <xf numFmtId="0" fontId="57" fillId="0" borderId="33" xfId="0" applyFont="1" applyFill="1" applyBorder="1" applyAlignment="1" applyProtection="1">
      <alignment horizontal="left" vertical="top"/>
      <protection locked="0"/>
    </xf>
    <xf numFmtId="0" fontId="57" fillId="0" borderId="42" xfId="0" applyFont="1" applyFill="1" applyBorder="1" applyAlignment="1" applyProtection="1">
      <alignment horizontal="left" vertical="top"/>
      <protection locked="0"/>
    </xf>
    <xf numFmtId="0" fontId="57" fillId="0" borderId="29" xfId="0" applyFont="1" applyFill="1" applyBorder="1" applyAlignment="1" applyProtection="1">
      <alignment horizontal="left" vertical="top"/>
      <protection locked="0"/>
    </xf>
    <xf numFmtId="0" fontId="57" fillId="0" borderId="24" xfId="0" applyFont="1" applyFill="1" applyBorder="1" applyAlignment="1" applyProtection="1">
      <alignment horizontal="left" vertical="top"/>
      <protection locked="0"/>
    </xf>
    <xf numFmtId="0" fontId="57" fillId="0" borderId="34" xfId="0" applyFont="1" applyFill="1" applyBorder="1" applyAlignment="1" applyProtection="1">
      <alignment horizontal="left" vertical="top"/>
      <protection locked="0"/>
    </xf>
    <xf numFmtId="0" fontId="57" fillId="0" borderId="35" xfId="0" applyFont="1" applyFill="1" applyBorder="1" applyAlignment="1" applyProtection="1">
      <alignment horizontal="left" vertical="top"/>
      <protection locked="0"/>
    </xf>
    <xf numFmtId="0" fontId="56" fillId="17" borderId="46" xfId="4" applyFont="1" applyFill="1" applyBorder="1" applyAlignment="1" applyProtection="1">
      <alignment horizontal="center" wrapText="1"/>
      <protection locked="0"/>
    </xf>
    <xf numFmtId="0" fontId="56" fillId="17" borderId="63" xfId="4" applyFont="1" applyFill="1" applyBorder="1" applyAlignment="1" applyProtection="1">
      <alignment horizontal="center" wrapText="1"/>
      <protection locked="0"/>
    </xf>
    <xf numFmtId="0" fontId="56" fillId="0" borderId="57" xfId="4" applyFont="1" applyBorder="1" applyAlignment="1" applyProtection="1">
      <alignment horizontal="center"/>
      <protection locked="0"/>
    </xf>
    <xf numFmtId="0" fontId="56" fillId="0" borderId="58" xfId="4" applyFont="1" applyBorder="1" applyAlignment="1" applyProtection="1">
      <alignment horizontal="center"/>
      <protection locked="0"/>
    </xf>
    <xf numFmtId="0" fontId="56" fillId="4" borderId="69" xfId="4" applyFont="1" applyFill="1" applyBorder="1" applyAlignment="1" applyProtection="1">
      <alignment horizontal="center"/>
      <protection locked="0"/>
    </xf>
    <xf numFmtId="0" fontId="56" fillId="4" borderId="79" xfId="4" applyFont="1" applyFill="1" applyBorder="1" applyAlignment="1" applyProtection="1">
      <alignment horizontal="center"/>
      <protection locked="0"/>
    </xf>
    <xf numFmtId="0" fontId="56" fillId="4" borderId="80" xfId="4" applyFont="1" applyFill="1" applyBorder="1" applyAlignment="1" applyProtection="1">
      <alignment horizontal="center"/>
      <protection locked="0"/>
    </xf>
    <xf numFmtId="0" fontId="56" fillId="0" borderId="37" xfId="4" applyFont="1" applyBorder="1" applyAlignment="1" applyProtection="1">
      <alignment horizontal="center" vertical="center"/>
      <protection locked="0"/>
    </xf>
    <xf numFmtId="0" fontId="56" fillId="0" borderId="69" xfId="4" applyFont="1" applyBorder="1" applyAlignment="1" applyProtection="1">
      <alignment horizontal="center" vertical="center"/>
      <protection locked="0"/>
    </xf>
    <xf numFmtId="0" fontId="56" fillId="0" borderId="40" xfId="4" applyFont="1" applyBorder="1" applyAlignment="1" applyProtection="1">
      <alignment horizontal="center" vertical="center"/>
      <protection locked="0"/>
    </xf>
    <xf numFmtId="167" fontId="56" fillId="13" borderId="37" xfId="4" applyNumberFormat="1" applyFont="1" applyFill="1" applyBorder="1" applyAlignment="1" applyProtection="1">
      <alignment horizontal="center"/>
    </xf>
    <xf numFmtId="167" fontId="56" fillId="13" borderId="40" xfId="4" applyNumberFormat="1" applyFont="1" applyFill="1" applyBorder="1" applyAlignment="1" applyProtection="1">
      <alignment horizontal="center"/>
    </xf>
    <xf numFmtId="0" fontId="56" fillId="4" borderId="41" xfId="4" applyFont="1" applyFill="1" applyBorder="1" applyAlignment="1" applyProtection="1">
      <alignment horizontal="center"/>
    </xf>
    <xf numFmtId="0" fontId="56" fillId="4" borderId="54" xfId="4" applyFont="1" applyFill="1" applyBorder="1" applyAlignment="1" applyProtection="1">
      <alignment horizontal="center"/>
    </xf>
    <xf numFmtId="0" fontId="7" fillId="0" borderId="34" xfId="0" applyFont="1" applyBorder="1" applyAlignment="1" applyProtection="1">
      <alignment horizontal="center"/>
      <protection locked="0"/>
    </xf>
    <xf numFmtId="0" fontId="7" fillId="0" borderId="35" xfId="0" applyFont="1" applyBorder="1" applyAlignment="1" applyProtection="1">
      <alignment horizontal="center"/>
      <protection locked="0"/>
    </xf>
    <xf numFmtId="0" fontId="56" fillId="0" borderId="27" xfId="4" applyFont="1" applyBorder="1" applyAlignment="1" applyProtection="1">
      <alignment horizontal="center"/>
      <protection locked="0"/>
    </xf>
    <xf numFmtId="0" fontId="56" fillId="0" borderId="38" xfId="4" applyFont="1" applyBorder="1" applyAlignment="1" applyProtection="1">
      <alignment horizontal="center"/>
      <protection locked="0"/>
    </xf>
    <xf numFmtId="0" fontId="56" fillId="0" borderId="29" xfId="4" applyFont="1" applyBorder="1" applyAlignment="1" applyProtection="1">
      <alignment horizontal="center"/>
      <protection locked="0"/>
    </xf>
    <xf numFmtId="0" fontId="56" fillId="0" borderId="24" xfId="4" applyFont="1" applyBorder="1" applyAlignment="1" applyProtection="1">
      <alignment horizontal="center"/>
      <protection locked="0"/>
    </xf>
    <xf numFmtId="0" fontId="7" fillId="0" borderId="29" xfId="0" applyFont="1" applyBorder="1" applyAlignment="1" applyProtection="1">
      <alignment horizontal="center"/>
      <protection locked="0"/>
    </xf>
    <xf numFmtId="0" fontId="7" fillId="0" borderId="24" xfId="0" applyFont="1" applyBorder="1" applyAlignment="1" applyProtection="1">
      <alignment horizontal="center"/>
      <protection locked="0"/>
    </xf>
    <xf numFmtId="0" fontId="56" fillId="0" borderId="0" xfId="4" applyFont="1" applyFill="1" applyBorder="1" applyAlignment="1" applyProtection="1">
      <alignment horizontal="center"/>
      <protection locked="0"/>
    </xf>
    <xf numFmtId="167" fontId="56" fillId="0" borderId="0" xfId="4" applyNumberFormat="1" applyFont="1" applyFill="1" applyBorder="1" applyAlignment="1" applyProtection="1">
      <alignment horizontal="center"/>
      <protection locked="0"/>
    </xf>
    <xf numFmtId="0" fontId="60" fillId="0" borderId="69" xfId="0" applyFont="1" applyBorder="1" applyAlignment="1" applyProtection="1">
      <alignment horizontal="center" wrapText="1"/>
      <protection locked="0"/>
    </xf>
    <xf numFmtId="0" fontId="60" fillId="0" borderId="80" xfId="0" applyFont="1" applyBorder="1" applyAlignment="1" applyProtection="1">
      <alignment horizontal="center" wrapText="1"/>
      <protection locked="0"/>
    </xf>
    <xf numFmtId="0" fontId="7" fillId="13" borderId="46" xfId="0" applyFont="1" applyFill="1" applyBorder="1" applyAlignment="1" applyProtection="1">
      <alignment horizontal="center"/>
      <protection locked="0"/>
    </xf>
    <xf numFmtId="0" fontId="7" fillId="13" borderId="47" xfId="0" applyFont="1" applyFill="1" applyBorder="1" applyAlignment="1" applyProtection="1">
      <alignment horizontal="center"/>
      <protection locked="0"/>
    </xf>
    <xf numFmtId="0" fontId="60" fillId="18" borderId="68" xfId="0" applyFont="1" applyFill="1" applyBorder="1" applyAlignment="1" applyProtection="1">
      <alignment horizontal="center" vertical="center" wrapText="1"/>
      <protection locked="0"/>
    </xf>
    <xf numFmtId="0" fontId="60" fillId="18" borderId="69" xfId="0" applyFont="1" applyFill="1" applyBorder="1" applyAlignment="1" applyProtection="1">
      <alignment horizontal="center" vertical="center" wrapText="1"/>
      <protection locked="0"/>
    </xf>
    <xf numFmtId="0" fontId="60" fillId="0" borderId="69" xfId="0" applyFont="1" applyBorder="1" applyAlignment="1" applyProtection="1">
      <alignment horizontal="center" vertical="center" wrapText="1"/>
      <protection locked="0"/>
    </xf>
    <xf numFmtId="0" fontId="59" fillId="14" borderId="38" xfId="0" applyFont="1" applyFill="1" applyBorder="1" applyAlignment="1" applyProtection="1">
      <alignment horizontal="center" vertical="center"/>
      <protection locked="0"/>
    </xf>
    <xf numFmtId="0" fontId="59" fillId="14" borderId="35" xfId="0" applyFont="1" applyFill="1" applyBorder="1" applyAlignment="1" applyProtection="1">
      <alignment horizontal="center" vertical="center"/>
      <protection locked="0"/>
    </xf>
    <xf numFmtId="0" fontId="59" fillId="14" borderId="39" xfId="0" applyFont="1" applyFill="1" applyBorder="1" applyAlignment="1" applyProtection="1">
      <alignment horizontal="center" vertical="center" wrapText="1"/>
      <protection locked="0"/>
    </xf>
    <xf numFmtId="0" fontId="59" fillId="14" borderId="36" xfId="0" applyFont="1" applyFill="1" applyBorder="1" applyAlignment="1" applyProtection="1">
      <alignment horizontal="center" vertical="center" wrapText="1"/>
      <protection locked="0"/>
    </xf>
    <xf numFmtId="0" fontId="59" fillId="14" borderId="37" xfId="0" applyFont="1" applyFill="1" applyBorder="1" applyAlignment="1" applyProtection="1">
      <alignment horizontal="center" wrapText="1"/>
      <protection locked="0"/>
    </xf>
    <xf numFmtId="0" fontId="59" fillId="14" borderId="40" xfId="0" applyFont="1" applyFill="1" applyBorder="1" applyAlignment="1" applyProtection="1">
      <alignment horizontal="center" wrapText="1"/>
      <protection locked="0"/>
    </xf>
    <xf numFmtId="0" fontId="59" fillId="14" borderId="27" xfId="0" applyFont="1" applyFill="1" applyBorder="1" applyAlignment="1" applyProtection="1">
      <alignment horizontal="center" vertical="center"/>
      <protection locked="0"/>
    </xf>
    <xf numFmtId="0" fontId="59" fillId="14" borderId="34" xfId="0" applyFont="1" applyFill="1" applyBorder="1" applyAlignment="1" applyProtection="1">
      <alignment horizontal="center" vertical="center"/>
      <protection locked="0"/>
    </xf>
    <xf numFmtId="0" fontId="56" fillId="4" borderId="28" xfId="4" applyFont="1" applyFill="1" applyBorder="1" applyAlignment="1">
      <alignment horizontal="center"/>
    </xf>
    <xf numFmtId="0" fontId="56" fillId="4" borderId="49" xfId="4" applyFont="1" applyFill="1" applyBorder="1" applyAlignment="1">
      <alignment horizontal="center"/>
    </xf>
    <xf numFmtId="0" fontId="56" fillId="4" borderId="37" xfId="4" applyFont="1" applyFill="1" applyBorder="1" applyAlignment="1">
      <alignment horizontal="center"/>
    </xf>
    <xf numFmtId="0" fontId="56" fillId="4" borderId="40" xfId="4" applyFont="1" applyFill="1" applyBorder="1" applyAlignment="1">
      <alignment horizontal="center"/>
    </xf>
    <xf numFmtId="0" fontId="56" fillId="4" borderId="46" xfId="4" applyFont="1" applyFill="1" applyBorder="1" applyAlignment="1">
      <alignment horizontal="center"/>
    </xf>
    <xf numFmtId="0" fontId="56" fillId="4" borderId="47" xfId="4" applyFont="1" applyFill="1" applyBorder="1" applyAlignment="1">
      <alignment horizontal="center"/>
    </xf>
    <xf numFmtId="0" fontId="56" fillId="4" borderId="48" xfId="4" applyFont="1" applyFill="1" applyBorder="1" applyAlignment="1">
      <alignment horizontal="center"/>
    </xf>
    <xf numFmtId="0" fontId="56" fillId="0" borderId="33" xfId="4" applyFont="1" applyBorder="1" applyAlignment="1">
      <alignment horizontal="center" vertical="center"/>
    </xf>
    <xf numFmtId="0" fontId="56" fillId="0" borderId="29" xfId="4" applyFont="1" applyBorder="1" applyAlignment="1">
      <alignment horizontal="center" vertical="center"/>
    </xf>
    <xf numFmtId="0" fontId="56" fillId="0" borderId="27" xfId="4" applyFont="1" applyBorder="1" applyAlignment="1">
      <alignment horizontal="center" vertical="center"/>
    </xf>
    <xf numFmtId="0" fontId="56" fillId="0" borderId="34" xfId="4" applyFont="1" applyBorder="1" applyAlignment="1">
      <alignment horizontal="center" vertical="center"/>
    </xf>
    <xf numFmtId="0" fontId="56" fillId="0" borderId="31" xfId="4" applyFont="1" applyBorder="1" applyAlignment="1">
      <alignment horizontal="center" vertical="center"/>
    </xf>
    <xf numFmtId="0" fontId="55" fillId="4" borderId="46" xfId="4" applyFill="1" applyBorder="1" applyAlignment="1">
      <alignment horizontal="center"/>
    </xf>
    <xf numFmtId="0" fontId="55" fillId="4" borderId="48" xfId="4" applyFill="1" applyBorder="1" applyAlignment="1">
      <alignment horizontal="center"/>
    </xf>
    <xf numFmtId="0" fontId="55" fillId="4" borderId="37" xfId="4" applyFont="1" applyFill="1" applyBorder="1" applyAlignment="1">
      <alignment horizontal="center"/>
    </xf>
    <xf numFmtId="0" fontId="55" fillId="4" borderId="40" xfId="4" applyFont="1" applyFill="1" applyBorder="1" applyAlignment="1">
      <alignment horizontal="center"/>
    </xf>
    <xf numFmtId="0" fontId="56" fillId="0" borderId="32" xfId="4" applyFont="1" applyBorder="1" applyAlignment="1">
      <alignment horizontal="center" vertical="center"/>
    </xf>
    <xf numFmtId="0" fontId="56" fillId="0" borderId="43" xfId="4" applyFont="1" applyBorder="1" applyAlignment="1">
      <alignment horizontal="center" vertical="center"/>
    </xf>
    <xf numFmtId="0" fontId="56" fillId="0" borderId="24" xfId="4" applyFont="1" applyBorder="1" applyAlignment="1">
      <alignment horizontal="center" vertical="center"/>
    </xf>
    <xf numFmtId="0" fontId="56" fillId="0" borderId="50" xfId="4" applyFont="1" applyBorder="1" applyAlignment="1">
      <alignment horizontal="center" vertical="center"/>
    </xf>
    <xf numFmtId="0" fontId="56" fillId="4" borderId="24" xfId="4" applyFont="1" applyFill="1" applyBorder="1" applyAlignment="1">
      <alignment horizontal="center"/>
    </xf>
    <xf numFmtId="0" fontId="56" fillId="0" borderId="57" xfId="4" applyFont="1" applyBorder="1" applyAlignment="1">
      <alignment horizontal="center"/>
    </xf>
    <xf numFmtId="0" fontId="56" fillId="0" borderId="52" xfId="4" applyFont="1" applyBorder="1" applyAlignment="1">
      <alignment horizontal="center"/>
    </xf>
    <xf numFmtId="0" fontId="56" fillId="4" borderId="80" xfId="4" applyFont="1" applyFill="1" applyBorder="1" applyAlignment="1">
      <alignment horizontal="center"/>
    </xf>
    <xf numFmtId="0" fontId="56" fillId="0" borderId="41" xfId="4" applyFont="1" applyBorder="1" applyAlignment="1">
      <alignment horizontal="center" vertical="center"/>
    </xf>
    <xf numFmtId="0" fontId="56" fillId="0" borderId="70" xfId="4" applyFont="1" applyBorder="1" applyAlignment="1">
      <alignment horizontal="center" vertical="center"/>
    </xf>
    <xf numFmtId="0" fontId="56" fillId="0" borderId="61" xfId="4" applyFont="1" applyBorder="1" applyAlignment="1">
      <alignment horizontal="center" vertical="center"/>
    </xf>
    <xf numFmtId="0" fontId="56" fillId="0" borderId="11" xfId="4" applyFont="1" applyBorder="1" applyAlignment="1">
      <alignment horizontal="center" vertical="center"/>
    </xf>
    <xf numFmtId="0" fontId="7" fillId="13" borderId="57" xfId="0" applyFont="1" applyFill="1" applyBorder="1" applyAlignment="1">
      <alignment horizontal="center"/>
    </xf>
    <xf numFmtId="0" fontId="7" fillId="13" borderId="59" xfId="0" applyFont="1" applyFill="1" applyBorder="1" applyAlignment="1">
      <alignment horizontal="center"/>
    </xf>
    <xf numFmtId="0" fontId="7" fillId="13" borderId="58" xfId="0" applyFont="1" applyFill="1" applyBorder="1" applyAlignment="1">
      <alignment horizontal="center"/>
    </xf>
    <xf numFmtId="0" fontId="59" fillId="17" borderId="66" xfId="0" applyFont="1" applyFill="1" applyBorder="1" applyAlignment="1">
      <alignment horizontal="center" vertical="center" wrapText="1"/>
    </xf>
    <xf numFmtId="0" fontId="59" fillId="17" borderId="44" xfId="0" applyFont="1" applyFill="1" applyBorder="1" applyAlignment="1">
      <alignment horizontal="center" vertical="center" wrapText="1"/>
    </xf>
    <xf numFmtId="0" fontId="59" fillId="17" borderId="54" xfId="0" applyFont="1" applyFill="1" applyBorder="1" applyAlignment="1">
      <alignment horizontal="center" vertical="center"/>
    </xf>
    <xf numFmtId="0" fontId="59" fillId="17" borderId="45" xfId="0" applyFont="1" applyFill="1" applyBorder="1" applyAlignment="1">
      <alignment horizontal="center" vertical="center"/>
    </xf>
    <xf numFmtId="0" fontId="56" fillId="13" borderId="41" xfId="4" applyFont="1" applyFill="1" applyBorder="1" applyAlignment="1" applyProtection="1">
      <alignment horizontal="center"/>
      <protection locked="0"/>
    </xf>
    <xf numFmtId="0" fontId="56" fillId="13" borderId="54" xfId="4" applyFont="1" applyFill="1" applyBorder="1" applyAlignment="1" applyProtection="1">
      <alignment horizontal="center"/>
      <protection locked="0"/>
    </xf>
    <xf numFmtId="0" fontId="56" fillId="13" borderId="55" xfId="4" applyFont="1" applyFill="1" applyBorder="1" applyAlignment="1" applyProtection="1">
      <alignment horizontal="center"/>
      <protection locked="0"/>
    </xf>
    <xf numFmtId="167" fontId="56" fillId="13" borderId="28" xfId="4" applyNumberFormat="1" applyFont="1" applyFill="1" applyBorder="1" applyAlignment="1" applyProtection="1">
      <alignment horizontal="center"/>
      <protection locked="0"/>
    </xf>
    <xf numFmtId="167" fontId="56" fillId="13" borderId="49" xfId="4" applyNumberFormat="1" applyFont="1" applyFill="1" applyBorder="1" applyAlignment="1" applyProtection="1">
      <alignment horizontal="center"/>
      <protection locked="0"/>
    </xf>
    <xf numFmtId="0" fontId="7" fillId="0" borderId="29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56" fillId="0" borderId="29" xfId="4" applyFont="1" applyBorder="1" applyAlignment="1" applyProtection="1">
      <alignment horizontal="center"/>
    </xf>
    <xf numFmtId="0" fontId="56" fillId="0" borderId="24" xfId="4" applyFont="1" applyBorder="1" applyAlignment="1" applyProtection="1">
      <alignment horizontal="center"/>
    </xf>
    <xf numFmtId="0" fontId="7" fillId="13" borderId="51" xfId="0" applyFont="1" applyFill="1" applyBorder="1" applyAlignment="1">
      <alignment horizontal="center"/>
    </xf>
    <xf numFmtId="0" fontId="61" fillId="0" borderId="57" xfId="0" applyFont="1" applyBorder="1" applyAlignment="1">
      <alignment horizontal="center"/>
    </xf>
    <xf numFmtId="0" fontId="61" fillId="0" borderId="58" xfId="0" applyFont="1" applyBorder="1" applyAlignment="1">
      <alignment horizontal="center"/>
    </xf>
    <xf numFmtId="0" fontId="61" fillId="0" borderId="59" xfId="0" applyFont="1" applyBorder="1" applyAlignment="1">
      <alignment horizontal="center"/>
    </xf>
    <xf numFmtId="0" fontId="61" fillId="0" borderId="67" xfId="0" applyFont="1" applyBorder="1" applyAlignment="1">
      <alignment horizontal="left" wrapText="1"/>
    </xf>
    <xf numFmtId="0" fontId="61" fillId="0" borderId="25" xfId="0" applyFont="1" applyBorder="1" applyAlignment="1">
      <alignment horizontal="left" wrapText="1"/>
    </xf>
    <xf numFmtId="0" fontId="0" fillId="0" borderId="76" xfId="0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44" xfId="0" applyBorder="1" applyAlignment="1">
      <alignment horizontal="center"/>
    </xf>
    <xf numFmtId="0" fontId="59" fillId="0" borderId="67" xfId="0" applyFont="1" applyBorder="1" applyAlignment="1">
      <alignment horizontal="left"/>
    </xf>
    <xf numFmtId="0" fontId="59" fillId="0" borderId="25" xfId="0" applyFont="1" applyBorder="1" applyAlignment="1">
      <alignment horizontal="left"/>
    </xf>
    <xf numFmtId="0" fontId="61" fillId="0" borderId="49" xfId="0" applyFont="1" applyBorder="1" applyAlignment="1">
      <alignment horizontal="left"/>
    </xf>
    <xf numFmtId="0" fontId="61" fillId="0" borderId="77" xfId="0" applyFont="1" applyBorder="1" applyAlignment="1">
      <alignment horizontal="left"/>
    </xf>
    <xf numFmtId="0" fontId="60" fillId="18" borderId="80" xfId="0" applyFont="1" applyFill="1" applyBorder="1" applyAlignment="1">
      <alignment horizontal="center" vertical="center" wrapText="1"/>
    </xf>
    <xf numFmtId="0" fontId="60" fillId="18" borderId="70" xfId="0" applyFont="1" applyFill="1" applyBorder="1" applyAlignment="1">
      <alignment horizontal="center" vertical="center" wrapText="1"/>
    </xf>
    <xf numFmtId="0" fontId="60" fillId="18" borderId="68" xfId="0" applyFont="1" applyFill="1" applyBorder="1" applyAlignment="1">
      <alignment horizontal="center" vertical="center" wrapText="1"/>
    </xf>
    <xf numFmtId="0" fontId="60" fillId="0" borderId="80" xfId="0" applyFont="1" applyBorder="1" applyAlignment="1">
      <alignment horizontal="center" vertical="center" wrapText="1"/>
    </xf>
    <xf numFmtId="0" fontId="60" fillId="0" borderId="70" xfId="0" applyFont="1" applyBorder="1" applyAlignment="1">
      <alignment horizontal="center" vertical="center" wrapText="1"/>
    </xf>
    <xf numFmtId="0" fontId="60" fillId="0" borderId="68" xfId="0" applyFont="1" applyBorder="1" applyAlignment="1">
      <alignment horizontal="center" vertical="center" wrapText="1"/>
    </xf>
    <xf numFmtId="0" fontId="60" fillId="0" borderId="80" xfId="0" applyFont="1" applyBorder="1" applyAlignment="1">
      <alignment horizontal="center" wrapText="1"/>
    </xf>
    <xf numFmtId="0" fontId="60" fillId="0" borderId="61" xfId="0" applyFont="1" applyBorder="1" applyAlignment="1">
      <alignment horizontal="center" wrapText="1"/>
    </xf>
    <xf numFmtId="0" fontId="59" fillId="17" borderId="41" xfId="0" applyFont="1" applyFill="1" applyBorder="1" applyAlignment="1">
      <alignment horizontal="center" vertical="center"/>
    </xf>
    <xf numFmtId="0" fontId="59" fillId="17" borderId="43" xfId="0" applyFont="1" applyFill="1" applyBorder="1" applyAlignment="1">
      <alignment horizontal="center" vertical="center"/>
    </xf>
    <xf numFmtId="0" fontId="60" fillId="18" borderId="60" xfId="0" applyFont="1" applyFill="1" applyBorder="1" applyAlignment="1">
      <alignment horizontal="center" vertical="center" wrapText="1"/>
    </xf>
    <xf numFmtId="0" fontId="59" fillId="17" borderId="60" xfId="0" applyFont="1" applyFill="1" applyBorder="1" applyAlignment="1">
      <alignment horizontal="center" wrapText="1"/>
    </xf>
    <xf numFmtId="0" fontId="59" fillId="17" borderId="61" xfId="0" applyFont="1" applyFill="1" applyBorder="1" applyAlignment="1">
      <alignment horizontal="center" wrapText="1"/>
    </xf>
    <xf numFmtId="0" fontId="7" fillId="14" borderId="28" xfId="0" applyFont="1" applyFill="1" applyBorder="1" applyAlignment="1" applyProtection="1">
      <alignment horizontal="center"/>
    </xf>
    <xf numFmtId="0" fontId="7" fillId="14" borderId="81" xfId="0" applyFont="1" applyFill="1" applyBorder="1" applyAlignment="1" applyProtection="1">
      <alignment horizontal="center"/>
    </xf>
    <xf numFmtId="0" fontId="7" fillId="14" borderId="82" xfId="0" applyFont="1" applyFill="1" applyBorder="1" applyAlignment="1" applyProtection="1">
      <alignment horizontal="center"/>
    </xf>
    <xf numFmtId="0" fontId="57" fillId="15" borderId="29" xfId="0" applyFont="1" applyFill="1" applyBorder="1" applyAlignment="1" applyProtection="1">
      <alignment horizontal="left" vertical="top"/>
    </xf>
    <xf numFmtId="0" fontId="57" fillId="15" borderId="24" xfId="0" applyFont="1" applyFill="1" applyBorder="1" applyAlignment="1" applyProtection="1">
      <alignment horizontal="left" vertical="top"/>
    </xf>
    <xf numFmtId="0" fontId="57" fillId="15" borderId="34" xfId="0" applyFont="1" applyFill="1" applyBorder="1" applyAlignment="1" applyProtection="1">
      <alignment horizontal="left" vertical="top"/>
    </xf>
    <xf numFmtId="0" fontId="57" fillId="15" borderId="35" xfId="0" applyFont="1" applyFill="1" applyBorder="1" applyAlignment="1" applyProtection="1">
      <alignment horizontal="left" vertical="top"/>
    </xf>
    <xf numFmtId="0" fontId="7" fillId="4" borderId="57" xfId="0" applyFont="1" applyFill="1" applyBorder="1" applyAlignment="1" applyProtection="1">
      <alignment horizontal="center"/>
    </xf>
    <xf numFmtId="0" fontId="7" fillId="4" borderId="58" xfId="0" applyFont="1" applyFill="1" applyBorder="1" applyAlignment="1" applyProtection="1">
      <alignment horizontal="center"/>
    </xf>
    <xf numFmtId="0" fontId="7" fillId="4" borderId="59" xfId="0" applyFont="1" applyFill="1" applyBorder="1" applyAlignment="1" applyProtection="1">
      <alignment horizontal="center"/>
    </xf>
    <xf numFmtId="0" fontId="56" fillId="4" borderId="43" xfId="4" applyFont="1" applyFill="1" applyBorder="1" applyAlignment="1" applyProtection="1">
      <alignment horizontal="center"/>
    </xf>
    <xf numFmtId="0" fontId="56" fillId="4" borderId="45" xfId="4" applyFont="1" applyFill="1" applyBorder="1" applyAlignment="1" applyProtection="1">
      <alignment horizontal="center"/>
    </xf>
    <xf numFmtId="0" fontId="56" fillId="4" borderId="55" xfId="4" applyFont="1" applyFill="1" applyBorder="1" applyAlignment="1" applyProtection="1">
      <alignment horizontal="center"/>
    </xf>
    <xf numFmtId="0" fontId="56" fillId="4" borderId="71" xfId="4" applyFont="1" applyFill="1" applyBorder="1" applyAlignment="1" applyProtection="1">
      <alignment horizontal="center"/>
    </xf>
    <xf numFmtId="0" fontId="56" fillId="4" borderId="60" xfId="4" applyFont="1" applyFill="1" applyBorder="1" applyAlignment="1" applyProtection="1">
      <alignment horizontal="center"/>
    </xf>
    <xf numFmtId="0" fontId="56" fillId="4" borderId="61" xfId="4" applyFont="1" applyFill="1" applyBorder="1" applyAlignment="1" applyProtection="1">
      <alignment horizontal="center"/>
    </xf>
    <xf numFmtId="0" fontId="39" fillId="0" borderId="0" xfId="0" applyFont="1" applyAlignment="1">
      <alignment horizontal="right" vertical="center" textRotation="90"/>
    </xf>
    <xf numFmtId="0" fontId="39" fillId="0" borderId="0" xfId="0" applyFont="1" applyAlignment="1" applyProtection="1">
      <alignment horizontal="right" vertical="center" textRotation="90"/>
    </xf>
    <xf numFmtId="2" fontId="7" fillId="14" borderId="27" xfId="0" applyNumberFormat="1" applyFont="1" applyFill="1" applyBorder="1" applyAlignment="1">
      <alignment horizontal="center"/>
    </xf>
    <xf numFmtId="2" fontId="7" fillId="14" borderId="38" xfId="0" applyNumberFormat="1" applyFont="1" applyFill="1" applyBorder="1" applyAlignment="1">
      <alignment horizontal="center"/>
    </xf>
    <xf numFmtId="2" fontId="7" fillId="14" borderId="39" xfId="0" applyNumberFormat="1" applyFont="1" applyFill="1" applyBorder="1" applyAlignment="1">
      <alignment horizontal="center"/>
    </xf>
    <xf numFmtId="2" fontId="7" fillId="14" borderId="82" xfId="0" applyNumberFormat="1" applyFont="1" applyFill="1" applyBorder="1" applyAlignment="1">
      <alignment horizontal="center"/>
    </xf>
    <xf numFmtId="0" fontId="7" fillId="14" borderId="28" xfId="0" applyFont="1" applyFill="1" applyBorder="1" applyAlignment="1">
      <alignment horizontal="center"/>
    </xf>
    <xf numFmtId="0" fontId="7" fillId="14" borderId="49" xfId="0" applyFont="1" applyFill="1" applyBorder="1" applyAlignment="1">
      <alignment horizontal="center"/>
    </xf>
    <xf numFmtId="0" fontId="7" fillId="23" borderId="57" xfId="0" applyFont="1" applyFill="1" applyBorder="1" applyAlignment="1">
      <alignment horizontal="center"/>
    </xf>
    <xf numFmtId="0" fontId="7" fillId="23" borderId="58" xfId="0" applyFont="1" applyFill="1" applyBorder="1" applyAlignment="1">
      <alignment horizontal="center"/>
    </xf>
    <xf numFmtId="0" fontId="7" fillId="23" borderId="59" xfId="0" applyFont="1" applyFill="1" applyBorder="1" applyAlignment="1">
      <alignment horizontal="center"/>
    </xf>
    <xf numFmtId="0" fontId="7" fillId="14" borderId="28" xfId="0" applyFont="1" applyFill="1" applyBorder="1" applyAlignment="1">
      <alignment horizontal="center" wrapText="1"/>
    </xf>
    <xf numFmtId="0" fontId="7" fillId="14" borderId="49" xfId="0" applyFont="1" applyFill="1" applyBorder="1" applyAlignment="1">
      <alignment horizontal="center" wrapText="1"/>
    </xf>
    <xf numFmtId="0" fontId="7" fillId="14" borderId="27" xfId="0" applyFont="1" applyFill="1" applyBorder="1" applyAlignment="1">
      <alignment horizontal="center"/>
    </xf>
    <xf numFmtId="0" fontId="7" fillId="14" borderId="38" xfId="0" applyFont="1" applyFill="1" applyBorder="1" applyAlignment="1">
      <alignment horizontal="center"/>
    </xf>
    <xf numFmtId="0" fontId="7" fillId="14" borderId="39" xfId="0" applyFont="1" applyFill="1" applyBorder="1" applyAlignment="1">
      <alignment horizontal="center"/>
    </xf>
    <xf numFmtId="0" fontId="7" fillId="14" borderId="82" xfId="0" applyFont="1" applyFill="1" applyBorder="1" applyAlignment="1">
      <alignment horizontal="center"/>
    </xf>
    <xf numFmtId="2" fontId="7" fillId="14" borderId="83" xfId="0" applyNumberFormat="1" applyFont="1" applyFill="1" applyBorder="1" applyAlignment="1">
      <alignment horizontal="center"/>
    </xf>
  </cellXfs>
  <cellStyles count="8">
    <cellStyle name="Comma" xfId="1" builtinId="3"/>
    <cellStyle name="Comma 2" xfId="7" xr:uid="{A46635A2-133A-41CC-B748-1FFEDD3F2409}"/>
    <cellStyle name="Neutral" xfId="3" builtinId="28"/>
    <cellStyle name="Normal" xfId="0" builtinId="0"/>
    <cellStyle name="Normal 2" xfId="4" xr:uid="{AAFC7429-6238-4869-9AC4-6C3E4D041B6A}"/>
    <cellStyle name="Normal 3" xfId="5" xr:uid="{CA0FCB75-D29D-4F6D-B8FF-3EE2087F9A59}"/>
    <cellStyle name="Normal 4" xfId="6" xr:uid="{09FE9E66-0DFC-4C5A-81A0-A7F0F46BF531}"/>
    <cellStyle name="Percent" xfId="2" builtinId="5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ova"/>
        <family val="2"/>
        <scheme val="none"/>
      </font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ova"/>
        <family val="2"/>
        <scheme val="none"/>
      </font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ova"/>
        <family val="2"/>
        <scheme val="none"/>
      </font>
      <numFmt numFmtId="13" formatCode="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ova"/>
        <family val="2"/>
        <scheme val="none"/>
      </font>
      <numFmt numFmtId="13" formatCode="0%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ova"/>
        <family val="2"/>
        <scheme val="none"/>
      </font>
    </dxf>
  </dxfs>
  <tableStyles count="0" defaultTableStyle="TableStyleMedium2" defaultPivotStyle="PivotStyleLight16"/>
  <colors>
    <mruColors>
      <color rgb="FFBC1A77"/>
      <color rgb="FF996633"/>
      <color rgb="FF2F292D"/>
      <color rgb="FF3399FF"/>
      <color rgb="FFFF9999"/>
      <color rgb="FF0000FF"/>
      <color rgb="FF05088B"/>
      <color rgb="FF660033"/>
      <color rgb="FF000066"/>
      <color rgb="FF33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eetMetadata" Target="metadata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/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r>
              <a:rPr lang="en-US" sz="1800" b="1">
                <a:solidFill>
                  <a:schemeClr val="tx1"/>
                </a:solidFill>
                <a:latin typeface="Lato" panose="020F0502020204030203" pitchFamily="34" charset="0"/>
              </a:rPr>
              <a:t>Product </a:t>
            </a:r>
          </a:p>
          <a:p>
            <a:pPr>
              <a:defRPr sz="1800" b="1" i="0" u="none" strike="noStrike" kern="1200" spc="0" baseline="0">
                <a:solidFill>
                  <a:schemeClr val="tx1"/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r>
              <a:rPr lang="en-US" sz="1800" b="1">
                <a:solidFill>
                  <a:schemeClr val="tx1"/>
                </a:solidFill>
                <a:latin typeface="Lato" panose="020F0502020204030203" pitchFamily="34" charset="0"/>
              </a:rPr>
              <a:t>Sale Share </a:t>
            </a:r>
          </a:p>
        </c:rich>
      </c:tx>
      <c:layout>
        <c:manualLayout>
          <c:xMode val="edge"/>
          <c:yMode val="edge"/>
          <c:x val="0.41865301837270341"/>
          <c:y val="0.4394760663582564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785692738166848"/>
          <c:y val="3.9210210999708346E-2"/>
          <c:w val="0.94043784299689814"/>
          <c:h val="0.91771882281283024"/>
        </c:manualLayout>
      </c:layout>
      <c:doughnut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  <c:holeSize val="58"/>
      </c:doughnutChart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64624320561033"/>
          <c:y val="4.1011737731458976E-2"/>
          <c:w val="0.82465288713910756"/>
          <c:h val="0.95496582797908769"/>
        </c:manualLayout>
      </c:layout>
      <c:doughnutChart>
        <c:varyColors val="1"/>
        <c:ser>
          <c:idx val="0"/>
          <c:order val="0"/>
          <c:tx>
            <c:strRef>
              <c:f>'Dashboard Financial'!$B$125</c:f>
              <c:strCache>
                <c:ptCount val="1"/>
                <c:pt idx="0">
                  <c:v>Sales</c:v>
                </c:pt>
              </c:strCache>
            </c:strRef>
          </c:tx>
          <c:spPr>
            <a:ln>
              <a:noFill/>
            </a:ln>
          </c:spPr>
          <c:explosion val="2"/>
          <c:dPt>
            <c:idx val="0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84B9-40CD-BBD4-47C1E6B48874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4B9-40CD-BBD4-47C1E6B48874}"/>
              </c:ext>
            </c:extLst>
          </c:dPt>
          <c:dPt>
            <c:idx val="2"/>
            <c:bubble3D val="0"/>
            <c:spPr>
              <a:solidFill>
                <a:srgbClr val="3399FF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84B9-40CD-BBD4-47C1E6B48874}"/>
              </c:ext>
            </c:extLst>
          </c:dPt>
          <c:dPt>
            <c:idx val="3"/>
            <c:bubble3D val="0"/>
            <c:spPr>
              <a:solidFill>
                <a:schemeClr val="tx2">
                  <a:lumMod val="5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4B9-40CD-BBD4-47C1E6B48874}"/>
              </c:ext>
            </c:extLst>
          </c:dPt>
          <c:dPt>
            <c:idx val="4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4B9-40CD-BBD4-47C1E6B48874}"/>
              </c:ext>
            </c:extLst>
          </c:dPt>
          <c:dLbls>
            <c:dLbl>
              <c:idx val="0"/>
              <c:layout>
                <c:manualLayout>
                  <c:x val="4.4635779072028703E-2"/>
                  <c:y val="1.18186727118712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4B9-40CD-BBD4-47C1E6B48874}"/>
                </c:ext>
              </c:extLst>
            </c:dLbl>
            <c:dLbl>
              <c:idx val="2"/>
              <c:layout>
                <c:manualLayout>
                  <c:x val="0.14303562335888892"/>
                  <c:y val="-4.30752811199121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4B9-40CD-BBD4-47C1E6B48874}"/>
                </c:ext>
              </c:extLst>
            </c:dLbl>
            <c:dLbl>
              <c:idx val="3"/>
              <c:layout>
                <c:manualLayout>
                  <c:x val="-0.10288527294235876"/>
                  <c:y val="5.743370815988278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4B9-40CD-BBD4-47C1E6B48874}"/>
                </c:ext>
              </c:extLst>
            </c:dLbl>
            <c:dLbl>
              <c:idx val="4"/>
              <c:layout>
                <c:manualLayout>
                  <c:x val="-9.786647914029252E-2"/>
                  <c:y val="-7.17921351998534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B9-40CD-BBD4-47C1E6B488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'Dashboard Financial'!$A$126:$A$130</c:f>
              <c:strCache>
                <c:ptCount val="5"/>
                <c:pt idx="0">
                  <c:v>Inputs</c:v>
                </c:pt>
                <c:pt idx="1">
                  <c:v>Output</c:v>
                </c:pt>
                <c:pt idx="2">
                  <c:v>Services</c:v>
                </c:pt>
                <c:pt idx="3">
                  <c:v>Processing</c:v>
                </c:pt>
                <c:pt idx="4">
                  <c:v>Others</c:v>
                </c:pt>
              </c:strCache>
            </c:strRef>
          </c:cat>
          <c:val>
            <c:numRef>
              <c:f>'Dashboard Financial'!$B$126:$B$130</c:f>
              <c:numCache>
                <c:formatCode>_(* #,##0_);_(* \(#,##0\);_(* "-"??_);_(@_)</c:formatCode>
                <c:ptCount val="5"/>
                <c:pt idx="0">
                  <c:v>12620.591261045656</c:v>
                </c:pt>
                <c:pt idx="1">
                  <c:v>289515.97609571344</c:v>
                </c:pt>
                <c:pt idx="2">
                  <c:v>3786.1410000000001</c:v>
                </c:pt>
                <c:pt idx="3">
                  <c:v>8222.6295479126238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B9-40CD-BBD4-47C1E6B48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7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 sz="1200" b="1"/>
              <a:t>Sales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Ref'!$D$4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'Table Ref'!$C$5:$C$8</c:f>
              <c:strCache>
                <c:ptCount val="4"/>
                <c:pt idx="0">
                  <c:v>Apr-Jun</c:v>
                </c:pt>
                <c:pt idx="1">
                  <c:v>Jul-Sep</c:v>
                </c:pt>
                <c:pt idx="2">
                  <c:v>Oct-Dec</c:v>
                </c:pt>
                <c:pt idx="3">
                  <c:v>Jan-Mar</c:v>
                </c:pt>
              </c:strCache>
            </c:strRef>
          </c:cat>
          <c:val>
            <c:numRef>
              <c:f>'Table Ref'!$D$5:$D$8</c:f>
              <c:numCache>
                <c:formatCode>#,##0.00</c:formatCode>
                <c:ptCount val="4"/>
                <c:pt idx="0">
                  <c:v>972590</c:v>
                </c:pt>
                <c:pt idx="1">
                  <c:v>1311371</c:v>
                </c:pt>
                <c:pt idx="2">
                  <c:v>1134135</c:v>
                </c:pt>
                <c:pt idx="3">
                  <c:v>178045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24-47E4-BABA-A1B579AB7BB0}"/>
            </c:ext>
          </c:extLst>
        </c:ser>
        <c:ser>
          <c:idx val="1"/>
          <c:order val="1"/>
          <c:tx>
            <c:strRef>
              <c:f>'Table Ref'!$E$4</c:f>
              <c:strCache>
                <c:ptCount val="1"/>
                <c:pt idx="0">
                  <c:v>Planned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'Table Ref'!$C$5:$C$8</c:f>
              <c:strCache>
                <c:ptCount val="4"/>
                <c:pt idx="0">
                  <c:v>Apr-Jun</c:v>
                </c:pt>
                <c:pt idx="1">
                  <c:v>Jul-Sep</c:v>
                </c:pt>
                <c:pt idx="2">
                  <c:v>Oct-Dec</c:v>
                </c:pt>
                <c:pt idx="3">
                  <c:v>Jan-Mar</c:v>
                </c:pt>
              </c:strCache>
            </c:strRef>
          </c:cat>
          <c:val>
            <c:numRef>
              <c:f>'Table Ref'!$E$5:$E$8</c:f>
              <c:numCache>
                <c:formatCode>#,##0.00</c:formatCode>
                <c:ptCount val="4"/>
                <c:pt idx="0">
                  <c:v>1162590</c:v>
                </c:pt>
                <c:pt idx="1">
                  <c:v>1111371</c:v>
                </c:pt>
                <c:pt idx="2">
                  <c:v>1134135</c:v>
                </c:pt>
                <c:pt idx="3">
                  <c:v>378045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24-47E4-BABA-A1B579AB7B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09503216"/>
        <c:axId val="1609502800"/>
      </c:barChart>
      <c:lineChart>
        <c:grouping val="standard"/>
        <c:varyColors val="0"/>
        <c:ser>
          <c:idx val="2"/>
          <c:order val="2"/>
          <c:tx>
            <c:strRef>
              <c:f>'Table Ref'!$F$4</c:f>
              <c:strCache>
                <c:ptCount val="1"/>
                <c:pt idx="0">
                  <c:v>Variance</c:v>
                </c:pt>
              </c:strCache>
            </c:strRef>
          </c:tx>
          <c:spPr>
            <a:ln w="28575" cap="rnd">
              <a:solidFill>
                <a:srgbClr val="BC1A77"/>
              </a:solidFill>
              <a:round/>
            </a:ln>
            <a:effectLst/>
          </c:spPr>
          <c:marker>
            <c:symbol val="none"/>
          </c:marker>
          <c:cat>
            <c:strRef>
              <c:f>'Table Ref'!$C$5:$C$8</c:f>
              <c:strCache>
                <c:ptCount val="4"/>
                <c:pt idx="0">
                  <c:v>Apr-Jun</c:v>
                </c:pt>
                <c:pt idx="1">
                  <c:v>Jul-Sep</c:v>
                </c:pt>
                <c:pt idx="2">
                  <c:v>Oct-Dec</c:v>
                </c:pt>
                <c:pt idx="3">
                  <c:v>Jan-Mar</c:v>
                </c:pt>
              </c:strCache>
            </c:strRef>
          </c:cat>
          <c:val>
            <c:numRef>
              <c:f>'Table Ref'!$F$5:$F$8</c:f>
              <c:numCache>
                <c:formatCode>0%</c:formatCode>
                <c:ptCount val="4"/>
                <c:pt idx="0">
                  <c:v>-0.19535467154710617</c:v>
                </c:pt>
                <c:pt idx="1">
                  <c:v>0.15251214187289486</c:v>
                </c:pt>
                <c:pt idx="2">
                  <c:v>0</c:v>
                </c:pt>
                <c:pt idx="3">
                  <c:v>-1.1233115223679406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24-47E4-BABA-A1B579AB7B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9504048"/>
        <c:axId val="1609503632"/>
      </c:lineChart>
      <c:catAx>
        <c:axId val="1609503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9502800"/>
        <c:crosses val="autoZero"/>
        <c:auto val="1"/>
        <c:lblAlgn val="ctr"/>
        <c:lblOffset val="100"/>
        <c:noMultiLvlLbl val="0"/>
      </c:catAx>
      <c:valAx>
        <c:axId val="1609502800"/>
        <c:scaling>
          <c:orientation val="minMax"/>
        </c:scaling>
        <c:delete val="0"/>
        <c:axPos val="l"/>
        <c:numFmt formatCode="0,\ &quot;K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9503216"/>
        <c:crosses val="autoZero"/>
        <c:crossBetween val="between"/>
      </c:valAx>
      <c:valAx>
        <c:axId val="1609503632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9504048"/>
        <c:crosses val="max"/>
        <c:crossBetween val="between"/>
      </c:valAx>
      <c:catAx>
        <c:axId val="16095040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609503632"/>
        <c:crosses val="autoZero"/>
        <c:auto val="1"/>
        <c:lblAlgn val="ctr"/>
        <c:lblOffset val="100"/>
        <c:noMultiLvlLbl val="0"/>
      </c:catAx>
      <c:spPr>
        <a:solidFill>
          <a:schemeClr val="accent4">
            <a:lumMod val="40000"/>
            <a:lumOff val="60000"/>
          </a:schemeClr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4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 sz="1200" b="1"/>
              <a:t>Cost of Goods Sold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Ref'!$D$12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'Table Ref'!$C$13:$C$16</c:f>
              <c:strCache>
                <c:ptCount val="4"/>
                <c:pt idx="0">
                  <c:v>Apr-Jun</c:v>
                </c:pt>
                <c:pt idx="1">
                  <c:v>Jul-Sep</c:v>
                </c:pt>
                <c:pt idx="2">
                  <c:v>Oct-Dec</c:v>
                </c:pt>
                <c:pt idx="3">
                  <c:v>Jan-Mar</c:v>
                </c:pt>
              </c:strCache>
            </c:strRef>
          </c:cat>
          <c:val>
            <c:numRef>
              <c:f>'Table Ref'!$D$13:$D$16</c:f>
              <c:numCache>
                <c:formatCode>#,##0.00</c:formatCode>
                <c:ptCount val="4"/>
                <c:pt idx="0">
                  <c:v>975600</c:v>
                </c:pt>
                <c:pt idx="1">
                  <c:v>975600</c:v>
                </c:pt>
                <c:pt idx="2">
                  <c:v>975600</c:v>
                </c:pt>
                <c:pt idx="3">
                  <c:v>325200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E9-4C63-A91E-CC84B9496D51}"/>
            </c:ext>
          </c:extLst>
        </c:ser>
        <c:ser>
          <c:idx val="1"/>
          <c:order val="1"/>
          <c:tx>
            <c:strRef>
              <c:f>'Table Ref'!$E$12</c:f>
              <c:strCache>
                <c:ptCount val="1"/>
                <c:pt idx="0">
                  <c:v>Planned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'Table Ref'!$C$13:$C$16</c:f>
              <c:strCache>
                <c:ptCount val="4"/>
                <c:pt idx="0">
                  <c:v>Apr-Jun</c:v>
                </c:pt>
                <c:pt idx="1">
                  <c:v>Jul-Sep</c:v>
                </c:pt>
                <c:pt idx="2">
                  <c:v>Oct-Dec</c:v>
                </c:pt>
                <c:pt idx="3">
                  <c:v>Jan-Mar</c:v>
                </c:pt>
              </c:strCache>
            </c:strRef>
          </c:cat>
          <c:val>
            <c:numRef>
              <c:f>'Table Ref'!$E$13:$E$16</c:f>
              <c:numCache>
                <c:formatCode>#,##0.00</c:formatCode>
                <c:ptCount val="4"/>
                <c:pt idx="0">
                  <c:v>975600</c:v>
                </c:pt>
                <c:pt idx="1">
                  <c:v>975600</c:v>
                </c:pt>
                <c:pt idx="2">
                  <c:v>975600</c:v>
                </c:pt>
                <c:pt idx="3">
                  <c:v>325200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E9-4C63-A91E-CC84B9496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09503216"/>
        <c:axId val="1609502800"/>
      </c:barChart>
      <c:lineChart>
        <c:grouping val="standard"/>
        <c:varyColors val="0"/>
        <c:ser>
          <c:idx val="2"/>
          <c:order val="2"/>
          <c:tx>
            <c:strRef>
              <c:f>'Table Ref'!$F$12</c:f>
              <c:strCache>
                <c:ptCount val="1"/>
                <c:pt idx="0">
                  <c:v>Variance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'Table Ref'!$C$13:$C$16</c:f>
              <c:strCache>
                <c:ptCount val="4"/>
                <c:pt idx="0">
                  <c:v>Apr-Jun</c:v>
                </c:pt>
                <c:pt idx="1">
                  <c:v>Jul-Sep</c:v>
                </c:pt>
                <c:pt idx="2">
                  <c:v>Oct-Dec</c:v>
                </c:pt>
                <c:pt idx="3">
                  <c:v>Jan-Mar</c:v>
                </c:pt>
              </c:strCache>
            </c:strRef>
          </c:cat>
          <c:val>
            <c:numRef>
              <c:f>'Table Ref'!$F$13:$F$16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CE9-4C63-A91E-CC84B9496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9504048"/>
        <c:axId val="1609503632"/>
      </c:lineChart>
      <c:catAx>
        <c:axId val="1609503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9502800"/>
        <c:crosses val="autoZero"/>
        <c:auto val="1"/>
        <c:lblAlgn val="ctr"/>
        <c:lblOffset val="100"/>
        <c:noMultiLvlLbl val="0"/>
      </c:catAx>
      <c:valAx>
        <c:axId val="1609502800"/>
        <c:scaling>
          <c:orientation val="minMax"/>
        </c:scaling>
        <c:delete val="0"/>
        <c:axPos val="l"/>
        <c:numFmt formatCode="0,\ &quot;K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9503216"/>
        <c:crosses val="autoZero"/>
        <c:crossBetween val="between"/>
      </c:valAx>
      <c:valAx>
        <c:axId val="1609503632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9504048"/>
        <c:crosses val="max"/>
        <c:crossBetween val="between"/>
      </c:valAx>
      <c:catAx>
        <c:axId val="16095040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609503632"/>
        <c:crosses val="autoZero"/>
        <c:auto val="1"/>
        <c:lblAlgn val="ctr"/>
        <c:lblOffset val="100"/>
        <c:noMultiLvlLbl val="0"/>
      </c:catAx>
      <c:spPr>
        <a:solidFill>
          <a:schemeClr val="accent4">
            <a:lumMod val="40000"/>
            <a:lumOff val="60000"/>
          </a:schemeClr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4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 sz="1200" b="1"/>
              <a:t>Other Direct</a:t>
            </a:r>
            <a:r>
              <a:rPr lang="en-IN" sz="1200" b="1" baseline="0"/>
              <a:t> Cost</a:t>
            </a:r>
            <a:endParaRPr lang="en-IN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Ref'!$D$21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'Table Ref'!$C$22:$C$25</c:f>
              <c:strCache>
                <c:ptCount val="4"/>
                <c:pt idx="0">
                  <c:v>Apr-Jun</c:v>
                </c:pt>
                <c:pt idx="1">
                  <c:v>Jul-Sep</c:v>
                </c:pt>
                <c:pt idx="2">
                  <c:v>Oct-Dec</c:v>
                </c:pt>
                <c:pt idx="3">
                  <c:v>Jan-Mar</c:v>
                </c:pt>
              </c:strCache>
            </c:strRef>
          </c:cat>
          <c:val>
            <c:numRef>
              <c:f>'Table Ref'!$D$22:$D$25</c:f>
              <c:numCache>
                <c:formatCode>#,##0.00</c:formatCode>
                <c:ptCount val="4"/>
                <c:pt idx="0">
                  <c:v>12915</c:v>
                </c:pt>
                <c:pt idx="1">
                  <c:v>12915</c:v>
                </c:pt>
                <c:pt idx="2">
                  <c:v>12915</c:v>
                </c:pt>
                <c:pt idx="3">
                  <c:v>12915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F8-4E27-A36D-68FB619A82F4}"/>
            </c:ext>
          </c:extLst>
        </c:ser>
        <c:ser>
          <c:idx val="1"/>
          <c:order val="1"/>
          <c:tx>
            <c:strRef>
              <c:f>'Table Ref'!$E$21</c:f>
              <c:strCache>
                <c:ptCount val="1"/>
                <c:pt idx="0">
                  <c:v>Planned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'Table Ref'!$C$22:$C$25</c:f>
              <c:strCache>
                <c:ptCount val="4"/>
                <c:pt idx="0">
                  <c:v>Apr-Jun</c:v>
                </c:pt>
                <c:pt idx="1">
                  <c:v>Jul-Sep</c:v>
                </c:pt>
                <c:pt idx="2">
                  <c:v>Oct-Dec</c:v>
                </c:pt>
                <c:pt idx="3">
                  <c:v>Jan-Mar</c:v>
                </c:pt>
              </c:strCache>
            </c:strRef>
          </c:cat>
          <c:val>
            <c:numRef>
              <c:f>'Table Ref'!$E$22:$E$25</c:f>
              <c:numCache>
                <c:formatCode>#,##0.00</c:formatCode>
                <c:ptCount val="4"/>
                <c:pt idx="0">
                  <c:v>12915</c:v>
                </c:pt>
                <c:pt idx="1">
                  <c:v>12915</c:v>
                </c:pt>
                <c:pt idx="2">
                  <c:v>12915</c:v>
                </c:pt>
                <c:pt idx="3">
                  <c:v>12915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F8-4E27-A36D-68FB619A8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09503216"/>
        <c:axId val="1609502800"/>
      </c:barChart>
      <c:lineChart>
        <c:grouping val="standard"/>
        <c:varyColors val="0"/>
        <c:ser>
          <c:idx val="2"/>
          <c:order val="2"/>
          <c:tx>
            <c:strRef>
              <c:f>'Table Ref'!$F$21</c:f>
              <c:strCache>
                <c:ptCount val="1"/>
                <c:pt idx="0">
                  <c:v>Variance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'Table Ref'!$C$22:$C$25</c:f>
              <c:strCache>
                <c:ptCount val="4"/>
                <c:pt idx="0">
                  <c:v>Apr-Jun</c:v>
                </c:pt>
                <c:pt idx="1">
                  <c:v>Jul-Sep</c:v>
                </c:pt>
                <c:pt idx="2">
                  <c:v>Oct-Dec</c:v>
                </c:pt>
                <c:pt idx="3">
                  <c:v>Jan-Mar</c:v>
                </c:pt>
              </c:strCache>
            </c:strRef>
          </c:cat>
          <c:val>
            <c:numRef>
              <c:f>'Table Ref'!$F$22:$F$25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CF8-4E27-A36D-68FB619A8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9504048"/>
        <c:axId val="1609503632"/>
      </c:lineChart>
      <c:catAx>
        <c:axId val="1609503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9502800"/>
        <c:crosses val="autoZero"/>
        <c:auto val="1"/>
        <c:lblAlgn val="ctr"/>
        <c:lblOffset val="100"/>
        <c:noMultiLvlLbl val="0"/>
      </c:catAx>
      <c:valAx>
        <c:axId val="1609502800"/>
        <c:scaling>
          <c:orientation val="minMax"/>
        </c:scaling>
        <c:delete val="0"/>
        <c:axPos val="l"/>
        <c:numFmt formatCode="0,\ &quot;K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9503216"/>
        <c:crosses val="autoZero"/>
        <c:crossBetween val="between"/>
      </c:valAx>
      <c:valAx>
        <c:axId val="1609503632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9504048"/>
        <c:crosses val="max"/>
        <c:crossBetween val="between"/>
      </c:valAx>
      <c:catAx>
        <c:axId val="16095040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609503632"/>
        <c:crosses val="autoZero"/>
        <c:auto val="1"/>
        <c:lblAlgn val="ctr"/>
        <c:lblOffset val="100"/>
        <c:noMultiLvlLbl val="0"/>
      </c:catAx>
      <c:spPr>
        <a:solidFill>
          <a:schemeClr val="accent4">
            <a:lumMod val="40000"/>
            <a:lumOff val="60000"/>
          </a:schemeClr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4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bg1"/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r>
              <a:rPr lang="en-US" sz="1100" b="1"/>
              <a:t>Product Peformance: Sales, GP with High and Low %</a:t>
            </a:r>
          </a:p>
        </c:rich>
      </c:tx>
      <c:layout>
        <c:manualLayout>
          <c:xMode val="edge"/>
          <c:yMode val="edge"/>
          <c:x val="0.51046792088760251"/>
          <c:y val="1.3888888888888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bg1"/>
              </a:solidFill>
              <a:latin typeface="Lato" panose="020F0502020204030203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6494165688860635E-2"/>
          <c:y val="0.14882355010023565"/>
          <c:w val="0.9470116686222787"/>
          <c:h val="0.664280941159919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'Dashboard Financial'!$B$125</c:f>
              <c:strCache>
                <c:ptCount val="1"/>
                <c:pt idx="0">
                  <c:v>Sales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Lato" panose="020F0502020204030203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'Dashboard Financial'!$A$126:$A$130</c:f>
              <c:strCache>
                <c:ptCount val="5"/>
                <c:pt idx="0">
                  <c:v>Inputs</c:v>
                </c:pt>
                <c:pt idx="1">
                  <c:v>Output</c:v>
                </c:pt>
                <c:pt idx="2">
                  <c:v>Services</c:v>
                </c:pt>
                <c:pt idx="3">
                  <c:v>Processing</c:v>
                </c:pt>
                <c:pt idx="4">
                  <c:v>Others</c:v>
                </c:pt>
              </c:strCache>
            </c:strRef>
          </c:cat>
          <c:val>
            <c:numRef>
              <c:f>'Dashboard Financial'!$B$126:$B$130</c:f>
              <c:numCache>
                <c:formatCode>_(* #,##0_);_(* \(#,##0\);_(* "-"??_);_(@_)</c:formatCode>
                <c:ptCount val="5"/>
                <c:pt idx="0">
                  <c:v>12620.591261045656</c:v>
                </c:pt>
                <c:pt idx="1">
                  <c:v>289515.97609571344</c:v>
                </c:pt>
                <c:pt idx="2">
                  <c:v>3786.1410000000001</c:v>
                </c:pt>
                <c:pt idx="3">
                  <c:v>8222.6295479126238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E7-42F1-86CB-140F5A8A2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6"/>
        <c:overlap val="-27"/>
        <c:axId val="1910303856"/>
        <c:axId val="1784881424"/>
      </c:barChart>
      <c:barChart>
        <c:barDir val="col"/>
        <c:grouping val="clustered"/>
        <c:varyColors val="0"/>
        <c:ser>
          <c:idx val="3"/>
          <c:order val="1"/>
          <c:tx>
            <c:strRef>
              <c:f>'Dashboard Financial'!$E$125</c:f>
              <c:strCache>
                <c:ptCount val="1"/>
                <c:pt idx="0">
                  <c:v>GP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1" i="0" u="none" strike="noStrike" kern="1200" baseline="0">
                    <a:solidFill>
                      <a:schemeClr val="tx1"/>
                    </a:solidFill>
                    <a:latin typeface="Lato" panose="020F0502020204030203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'Dashboard Financial'!$A$126:$A$130</c:f>
              <c:strCache>
                <c:ptCount val="5"/>
                <c:pt idx="0">
                  <c:v>Inputs</c:v>
                </c:pt>
                <c:pt idx="1">
                  <c:v>Output</c:v>
                </c:pt>
                <c:pt idx="2">
                  <c:v>Services</c:v>
                </c:pt>
                <c:pt idx="3">
                  <c:v>Processing</c:v>
                </c:pt>
                <c:pt idx="4">
                  <c:v>Others</c:v>
                </c:pt>
              </c:strCache>
            </c:strRef>
          </c:cat>
          <c:val>
            <c:numRef>
              <c:f>'Dashboard Financial'!$E$126:$E$130</c:f>
              <c:numCache>
                <c:formatCode>_(* #,##0_);_(* \(#,##0\);_(* "-"??_);_(@_)</c:formatCode>
                <c:ptCount val="5"/>
                <c:pt idx="0">
                  <c:v>1501.216590965334</c:v>
                </c:pt>
                <c:pt idx="1">
                  <c:v>33530.129764049663</c:v>
                </c:pt>
                <c:pt idx="2">
                  <c:v>441.98713955713902</c:v>
                </c:pt>
                <c:pt idx="3">
                  <c:v>1676.6495646736994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E7-42F1-86CB-140F5A8A2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4"/>
        <c:overlap val="-27"/>
        <c:axId val="180054127"/>
        <c:axId val="1541958816"/>
      </c:barChart>
      <c:catAx>
        <c:axId val="1910303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en-US"/>
          </a:p>
        </c:txPr>
        <c:crossAx val="1784881424"/>
        <c:crosses val="autoZero"/>
        <c:auto val="1"/>
        <c:lblAlgn val="ctr"/>
        <c:lblOffset val="100"/>
        <c:noMultiLvlLbl val="0"/>
      </c:catAx>
      <c:valAx>
        <c:axId val="1784881424"/>
        <c:scaling>
          <c:orientation val="minMax"/>
        </c:scaling>
        <c:delete val="1"/>
        <c:axPos val="l"/>
        <c:numFmt formatCode="_(* #,##0_);_(* \(#,##0\);_(* &quot;-&quot;??_);_(@_)" sourceLinked="1"/>
        <c:majorTickMark val="none"/>
        <c:minorTickMark val="none"/>
        <c:tickLblPos val="nextTo"/>
        <c:crossAx val="1910303856"/>
        <c:crosses val="autoZero"/>
        <c:crossBetween val="between"/>
      </c:valAx>
      <c:valAx>
        <c:axId val="1541958816"/>
        <c:scaling>
          <c:orientation val="minMax"/>
          <c:max val="350"/>
        </c:scaling>
        <c:delete val="1"/>
        <c:axPos val="r"/>
        <c:numFmt formatCode="_(* #,##0_);_(* \(#,##0\);_(* &quot;-&quot;??_);_(@_)" sourceLinked="1"/>
        <c:majorTickMark val="out"/>
        <c:minorTickMark val="none"/>
        <c:tickLblPos val="nextTo"/>
        <c:crossAx val="180054127"/>
        <c:crosses val="max"/>
        <c:crossBetween val="between"/>
      </c:valAx>
      <c:catAx>
        <c:axId val="18005412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419588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1.728333162406796E-2"/>
          <c:y val="3.7453703703703718E-2"/>
          <c:w val="0.20152444812197709"/>
          <c:h val="0.122265144897297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bg1"/>
              </a:solidFill>
              <a:latin typeface="Lato" panose="020F0502020204030203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bg1"/>
          </a:solidFill>
          <a:latin typeface="Lato" panose="020F050202020403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256038647342997E-2"/>
          <c:y val="6.2506291121054908E-2"/>
          <c:w val="0.95748792270531402"/>
          <c:h val="0.77512559365305955"/>
        </c:manualLayout>
      </c:layout>
      <c:barChart>
        <c:barDir val="col"/>
        <c:grouping val="clustered"/>
        <c:varyColors val="0"/>
        <c:ser>
          <c:idx val="4"/>
          <c:order val="0"/>
          <c:tx>
            <c:strRef>
              <c:f>'Dashboard Financial'!$F$125</c:f>
              <c:strCache>
                <c:ptCount val="1"/>
                <c:pt idx="0">
                  <c:v>GP%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Lato" panose="020F0502020204030203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'Dashboard Financial'!$A$126:$A$130</c:f>
              <c:strCache>
                <c:ptCount val="5"/>
                <c:pt idx="0">
                  <c:v>Inputs</c:v>
                </c:pt>
                <c:pt idx="1">
                  <c:v>Output</c:v>
                </c:pt>
                <c:pt idx="2">
                  <c:v>Services</c:v>
                </c:pt>
                <c:pt idx="3">
                  <c:v>Processing</c:v>
                </c:pt>
                <c:pt idx="4">
                  <c:v>Others</c:v>
                </c:pt>
              </c:strCache>
            </c:strRef>
          </c:cat>
          <c:val>
            <c:numRef>
              <c:f>'Dashboard Financial'!$F$126:$F$130</c:f>
              <c:numCache>
                <c:formatCode>0%</c:formatCode>
                <c:ptCount val="5"/>
                <c:pt idx="0">
                  <c:v>0.11894978293124386</c:v>
                </c:pt>
                <c:pt idx="1">
                  <c:v>0.11581443696552575</c:v>
                </c:pt>
                <c:pt idx="2">
                  <c:v>0.11673816150986956</c:v>
                </c:pt>
                <c:pt idx="3">
                  <c:v>0.203906737486347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C4-4F5C-B4A7-199A016D513F}"/>
            </c:ext>
          </c:extLst>
        </c:ser>
        <c:ser>
          <c:idx val="5"/>
          <c:order val="1"/>
          <c:tx>
            <c:strRef>
              <c:f>'Dashboard Financial'!$G$125</c:f>
              <c:strCache>
                <c:ptCount val="1"/>
                <c:pt idx="0">
                  <c:v>MAX GP%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Financial'!$A$126:$A$130</c:f>
              <c:strCache>
                <c:ptCount val="5"/>
                <c:pt idx="0">
                  <c:v>Inputs</c:v>
                </c:pt>
                <c:pt idx="1">
                  <c:v>Output</c:v>
                </c:pt>
                <c:pt idx="2">
                  <c:v>Services</c:v>
                </c:pt>
                <c:pt idx="3">
                  <c:v>Processing</c:v>
                </c:pt>
                <c:pt idx="4">
                  <c:v>Others</c:v>
                </c:pt>
              </c:strCache>
            </c:strRef>
          </c:cat>
          <c:val>
            <c:numRef>
              <c:f>'Dashboard Financial'!$G$126:$G$130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0C4-4F5C-B4A7-199A016D513F}"/>
            </c:ext>
          </c:extLst>
        </c:ser>
        <c:ser>
          <c:idx val="6"/>
          <c:order val="2"/>
          <c:tx>
            <c:strRef>
              <c:f>'Dashboard Financial'!$H$125</c:f>
              <c:strCache>
                <c:ptCount val="1"/>
                <c:pt idx="0">
                  <c:v>MIN GP%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Financial'!$A$126:$A$130</c:f>
              <c:strCache>
                <c:ptCount val="5"/>
                <c:pt idx="0">
                  <c:v>Inputs</c:v>
                </c:pt>
                <c:pt idx="1">
                  <c:v>Output</c:v>
                </c:pt>
                <c:pt idx="2">
                  <c:v>Services</c:v>
                </c:pt>
                <c:pt idx="3">
                  <c:v>Processing</c:v>
                </c:pt>
                <c:pt idx="4">
                  <c:v>Others</c:v>
                </c:pt>
              </c:strCache>
            </c:strRef>
          </c:cat>
          <c:val>
            <c:numRef>
              <c:f>'Dashboard Financial'!$H$126:$H$130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0C4-4F5C-B4A7-199A016D51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97"/>
        <c:overlap val="100"/>
        <c:axId val="1910317856"/>
        <c:axId val="1784878928"/>
      </c:barChart>
      <c:catAx>
        <c:axId val="1910317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en-US"/>
          </a:p>
        </c:txPr>
        <c:crossAx val="1784878928"/>
        <c:crosses val="autoZero"/>
        <c:auto val="1"/>
        <c:lblAlgn val="ctr"/>
        <c:lblOffset val="100"/>
        <c:noMultiLvlLbl val="0"/>
      </c:catAx>
      <c:valAx>
        <c:axId val="1784878928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Lato" panose="020F0502020204030203" pitchFamily="34" charset="0"/>
                    <a:ea typeface="+mn-ea"/>
                    <a:cs typeface="+mn-cs"/>
                  </a:defRPr>
                </a:pPr>
                <a:r>
                  <a:rPr lang="en-US"/>
                  <a:t>GP%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bg1"/>
                  </a:solidFill>
                  <a:latin typeface="Lato" panose="020F0502020204030203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crossAx val="1910317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bg1"/>
          </a:solidFill>
          <a:latin typeface="Lato" panose="020F050202020403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256038647342997E-2"/>
          <c:y val="4.7889014148440032E-2"/>
          <c:w val="0.95748792270531402"/>
          <c:h val="0.789743349295432"/>
        </c:manualLayout>
      </c:layout>
      <c:barChart>
        <c:barDir val="col"/>
        <c:grouping val="clustered"/>
        <c:varyColors val="0"/>
        <c:ser>
          <c:idx val="4"/>
          <c:order val="0"/>
          <c:tx>
            <c:strRef>
              <c:f>'Dashboard Financial'!$K$125</c:f>
              <c:strCache>
                <c:ptCount val="1"/>
                <c:pt idx="0">
                  <c:v>NP%</c:v>
                </c:pt>
              </c:strCache>
            </c:strRef>
          </c:tx>
          <c:spPr>
            <a:solidFill>
              <a:srgbClr val="3B3838"/>
            </a:solidFill>
            <a:ln>
              <a:noFill/>
            </a:ln>
            <a:effectLst/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Lato" panose="020F0502020204030203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'Dashboard Financial'!$A$126:$A$130</c:f>
              <c:strCache>
                <c:ptCount val="5"/>
                <c:pt idx="0">
                  <c:v>Inputs</c:v>
                </c:pt>
                <c:pt idx="1">
                  <c:v>Output</c:v>
                </c:pt>
                <c:pt idx="2">
                  <c:v>Services</c:v>
                </c:pt>
                <c:pt idx="3">
                  <c:v>Processing</c:v>
                </c:pt>
                <c:pt idx="4">
                  <c:v>Others</c:v>
                </c:pt>
              </c:strCache>
            </c:strRef>
          </c:cat>
          <c:val>
            <c:numRef>
              <c:f>'Dashboard Financial'!$K$126:$K$130</c:f>
              <c:numCache>
                <c:formatCode>0%</c:formatCode>
                <c:ptCount val="5"/>
                <c:pt idx="0">
                  <c:v>0.11884386093946611</c:v>
                </c:pt>
                <c:pt idx="1">
                  <c:v>0.11570813803485942</c:v>
                </c:pt>
                <c:pt idx="2">
                  <c:v>0.11663197363160603</c:v>
                </c:pt>
                <c:pt idx="3">
                  <c:v>0.20381102922548663</c:v>
                </c:pt>
                <c:pt idx="4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0000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0-C171-4EF7-9DFA-BDEEC79D078C}"/>
            </c:ext>
          </c:extLst>
        </c:ser>
        <c:ser>
          <c:idx val="5"/>
          <c:order val="1"/>
          <c:tx>
            <c:strRef>
              <c:f>'Dashboard Financial'!$L$125</c:f>
              <c:strCache>
                <c:ptCount val="1"/>
                <c:pt idx="0">
                  <c:v>MAX NP%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Financial'!$A$126:$A$130</c:f>
              <c:strCache>
                <c:ptCount val="5"/>
                <c:pt idx="0">
                  <c:v>Inputs</c:v>
                </c:pt>
                <c:pt idx="1">
                  <c:v>Output</c:v>
                </c:pt>
                <c:pt idx="2">
                  <c:v>Services</c:v>
                </c:pt>
                <c:pt idx="3">
                  <c:v>Processing</c:v>
                </c:pt>
                <c:pt idx="4">
                  <c:v>Others</c:v>
                </c:pt>
              </c:strCache>
            </c:strRef>
          </c:cat>
          <c:val>
            <c:numRef>
              <c:f>'Dashboard Financial'!$L$126:$L$130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71-4EF7-9DFA-BDEEC79D078C}"/>
            </c:ext>
          </c:extLst>
        </c:ser>
        <c:ser>
          <c:idx val="6"/>
          <c:order val="2"/>
          <c:tx>
            <c:strRef>
              <c:f>'Dashboard Financial'!$M$125</c:f>
              <c:strCache>
                <c:ptCount val="1"/>
                <c:pt idx="0">
                  <c:v>MIN NP%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Financial'!$A$126:$A$130</c:f>
              <c:strCache>
                <c:ptCount val="5"/>
                <c:pt idx="0">
                  <c:v>Inputs</c:v>
                </c:pt>
                <c:pt idx="1">
                  <c:v>Output</c:v>
                </c:pt>
                <c:pt idx="2">
                  <c:v>Services</c:v>
                </c:pt>
                <c:pt idx="3">
                  <c:v>Processing</c:v>
                </c:pt>
                <c:pt idx="4">
                  <c:v>Others</c:v>
                </c:pt>
              </c:strCache>
            </c:strRef>
          </c:cat>
          <c:val>
            <c:numRef>
              <c:f>'Dashboard Financial'!$M$126:$M$130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71-4EF7-9DFA-BDEEC79D07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97"/>
        <c:overlap val="100"/>
        <c:axId val="1910317856"/>
        <c:axId val="1784878928"/>
      </c:barChart>
      <c:catAx>
        <c:axId val="1910317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en-US"/>
          </a:p>
        </c:txPr>
        <c:crossAx val="1784878928"/>
        <c:crosses val="autoZero"/>
        <c:auto val="1"/>
        <c:lblAlgn val="ctr"/>
        <c:lblOffset val="100"/>
        <c:noMultiLvlLbl val="0"/>
      </c:catAx>
      <c:valAx>
        <c:axId val="1784878928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Lato" panose="020F0502020204030203" pitchFamily="34" charset="0"/>
                    <a:ea typeface="+mn-ea"/>
                    <a:cs typeface="+mn-cs"/>
                  </a:defRPr>
                </a:pPr>
                <a:r>
                  <a:rPr lang="en-US"/>
                  <a:t>NP%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bg1"/>
                  </a:solidFill>
                  <a:latin typeface="Lato" panose="020F0502020204030203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crossAx val="1910317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bg1"/>
          </a:solidFill>
          <a:latin typeface="Lato" panose="020F050202020403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bg1"/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r>
              <a:rPr lang="en-US" sz="1100"/>
              <a:t>Monthly: Sales and GP, Highest and Lowest %</a:t>
            </a:r>
          </a:p>
        </c:rich>
      </c:tx>
      <c:layout>
        <c:manualLayout>
          <c:xMode val="edge"/>
          <c:yMode val="edge"/>
          <c:x val="0.87074257121725507"/>
          <c:y val="1.3888888888888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bg1"/>
              </a:solidFill>
              <a:latin typeface="Lato" panose="020F0502020204030203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1.4920311970159377E-2"/>
          <c:y val="0.11338874307378247"/>
          <c:w val="0.97015937605968128"/>
          <c:h val="0.779095581802274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'Dashboard Financial'!$A$135</c:f>
              <c:strCache>
                <c:ptCount val="1"/>
                <c:pt idx="0">
                  <c:v>Sales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Lato" panose="020F0502020204030203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'Dashboard Financial'!$B$134:$M$134</c:f>
              <c:numCache>
                <c:formatCode>[$-409]mmm/yy;@</c:formatCode>
                <c:ptCount val="12"/>
                <c:pt idx="0">
                  <c:v>44681</c:v>
                </c:pt>
                <c:pt idx="1">
                  <c:v>44712</c:v>
                </c:pt>
                <c:pt idx="2">
                  <c:v>44742</c:v>
                </c:pt>
                <c:pt idx="3">
                  <c:v>44773</c:v>
                </c:pt>
                <c:pt idx="4">
                  <c:v>44804</c:v>
                </c:pt>
                <c:pt idx="5">
                  <c:v>44834</c:v>
                </c:pt>
                <c:pt idx="6">
                  <c:v>44865</c:v>
                </c:pt>
                <c:pt idx="7">
                  <c:v>44895</c:v>
                </c:pt>
                <c:pt idx="8">
                  <c:v>44926</c:v>
                </c:pt>
                <c:pt idx="9">
                  <c:v>44957</c:v>
                </c:pt>
                <c:pt idx="10">
                  <c:v>44985</c:v>
                </c:pt>
                <c:pt idx="11">
                  <c:v>45016</c:v>
                </c:pt>
              </c:numCache>
            </c:numRef>
          </c:cat>
          <c:val>
            <c:numRef>
              <c:f>'Dashboard Financial'!$B$135:$M$135</c:f>
              <c:numCache>
                <c:formatCode>_(* #,##0_);_(* \(#,##0\);_(* "-"??_);_(@_)</c:formatCode>
                <c:ptCount val="12"/>
                <c:pt idx="0">
                  <c:v>21782.102254393063</c:v>
                </c:pt>
                <c:pt idx="1">
                  <c:v>23788.265446189722</c:v>
                </c:pt>
                <c:pt idx="2">
                  <c:v>25751.649988153324</c:v>
                </c:pt>
                <c:pt idx="3">
                  <c:v>25448.708508193595</c:v>
                </c:pt>
                <c:pt idx="4">
                  <c:v>37487.833161313676</c:v>
                </c:pt>
                <c:pt idx="5">
                  <c:v>42060.78328936491</c:v>
                </c:pt>
                <c:pt idx="6">
                  <c:v>33104.351655866187</c:v>
                </c:pt>
                <c:pt idx="7">
                  <c:v>33486.977917564953</c:v>
                </c:pt>
                <c:pt idx="8">
                  <c:v>13640.42366821177</c:v>
                </c:pt>
                <c:pt idx="9">
                  <c:v>26186.600295134514</c:v>
                </c:pt>
                <c:pt idx="10">
                  <c:v>15227.670994911181</c:v>
                </c:pt>
                <c:pt idx="11">
                  <c:v>16179.970725374784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2D-44DA-9201-6A11D55E68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1"/>
        <c:overlap val="-27"/>
        <c:axId val="180097327"/>
        <c:axId val="1541967968"/>
      </c:barChart>
      <c:barChart>
        <c:barDir val="col"/>
        <c:grouping val="clustered"/>
        <c:varyColors val="0"/>
        <c:ser>
          <c:idx val="1"/>
          <c:order val="1"/>
          <c:tx>
            <c:strRef>
              <c:f>'Dashboard Financial'!$A$136</c:f>
              <c:strCache>
                <c:ptCount val="1"/>
                <c:pt idx="0">
                  <c:v>GP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Lato" panose="020F0502020204030203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'Dashboard Financial'!$B$134:$M$134</c:f>
              <c:numCache>
                <c:formatCode>[$-409]mmm/yy;@</c:formatCode>
                <c:ptCount val="12"/>
                <c:pt idx="0">
                  <c:v>44681</c:v>
                </c:pt>
                <c:pt idx="1">
                  <c:v>44712</c:v>
                </c:pt>
                <c:pt idx="2">
                  <c:v>44742</c:v>
                </c:pt>
                <c:pt idx="3">
                  <c:v>44773</c:v>
                </c:pt>
                <c:pt idx="4">
                  <c:v>44804</c:v>
                </c:pt>
                <c:pt idx="5">
                  <c:v>44834</c:v>
                </c:pt>
                <c:pt idx="6">
                  <c:v>44865</c:v>
                </c:pt>
                <c:pt idx="7">
                  <c:v>44895</c:v>
                </c:pt>
                <c:pt idx="8">
                  <c:v>44926</c:v>
                </c:pt>
                <c:pt idx="9">
                  <c:v>44957</c:v>
                </c:pt>
                <c:pt idx="10">
                  <c:v>44985</c:v>
                </c:pt>
                <c:pt idx="11">
                  <c:v>45016</c:v>
                </c:pt>
              </c:numCache>
            </c:numRef>
          </c:cat>
          <c:val>
            <c:numRef>
              <c:f>'Dashboard Financial'!$B$136:$M$136</c:f>
              <c:numCache>
                <c:formatCode>_(* #,##0_);_(* \(#,##0\);_(* "-"??_);_(@_)</c:formatCode>
                <c:ptCount val="12"/>
                <c:pt idx="0">
                  <c:v>2932.401159893062</c:v>
                </c:pt>
                <c:pt idx="1">
                  <c:v>3279.8684432397222</c:v>
                </c:pt>
                <c:pt idx="2">
                  <c:v>3381.6277330249923</c:v>
                </c:pt>
                <c:pt idx="3">
                  <c:v>2240.9715186807625</c:v>
                </c:pt>
                <c:pt idx="4">
                  <c:v>3282.5207233623937</c:v>
                </c:pt>
                <c:pt idx="5">
                  <c:v>3821.591899069786</c:v>
                </c:pt>
                <c:pt idx="6">
                  <c:v>3766.7827653366735</c:v>
                </c:pt>
                <c:pt idx="7">
                  <c:v>3818.7810870120043</c:v>
                </c:pt>
                <c:pt idx="8">
                  <c:v>1615.4008337398079</c:v>
                </c:pt>
                <c:pt idx="9">
                  <c:v>3145.971760937322</c:v>
                </c:pt>
                <c:pt idx="10">
                  <c:v>1799.1666907414608</c:v>
                </c:pt>
                <c:pt idx="11">
                  <c:v>1897.7884442078118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2D-44DA-9201-6A11D55E68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9"/>
        <c:overlap val="-27"/>
        <c:axId val="1897252256"/>
        <c:axId val="1784882672"/>
      </c:barChart>
      <c:dateAx>
        <c:axId val="180097327"/>
        <c:scaling>
          <c:orientation val="minMax"/>
        </c:scaling>
        <c:delete val="0"/>
        <c:axPos val="b"/>
        <c:numFmt formatCode="[$-409]mmm/yy;@" sourceLinked="1"/>
        <c:majorTickMark val="out"/>
        <c:minorTickMark val="none"/>
        <c:tickLblPos val="none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en-US"/>
          </a:p>
        </c:txPr>
        <c:crossAx val="1541967968"/>
        <c:crosses val="autoZero"/>
        <c:auto val="1"/>
        <c:lblOffset val="100"/>
        <c:baseTimeUnit val="months"/>
      </c:dateAx>
      <c:valAx>
        <c:axId val="1541967968"/>
        <c:scaling>
          <c:orientation val="minMax"/>
        </c:scaling>
        <c:delete val="1"/>
        <c:axPos val="l"/>
        <c:numFmt formatCode="_(* #,##0_);_(* \(#,##0\);_(* &quot;-&quot;??_);_(@_)" sourceLinked="1"/>
        <c:majorTickMark val="none"/>
        <c:minorTickMark val="none"/>
        <c:tickLblPos val="nextTo"/>
        <c:crossAx val="180097327"/>
        <c:crosses val="autoZero"/>
        <c:crossBetween val="between"/>
      </c:valAx>
      <c:valAx>
        <c:axId val="1784882672"/>
        <c:scaling>
          <c:orientation val="minMax"/>
          <c:max val="120"/>
        </c:scaling>
        <c:delete val="1"/>
        <c:axPos val="r"/>
        <c:numFmt formatCode="_(* #,##0_);_(* \(#,##0\);_(* &quot;-&quot;??_);_(@_)" sourceLinked="1"/>
        <c:majorTickMark val="out"/>
        <c:minorTickMark val="none"/>
        <c:tickLblPos val="nextTo"/>
        <c:crossAx val="1897252256"/>
        <c:crosses val="max"/>
        <c:crossBetween val="between"/>
      </c:valAx>
      <c:dateAx>
        <c:axId val="1897252256"/>
        <c:scaling>
          <c:orientation val="minMax"/>
        </c:scaling>
        <c:delete val="1"/>
        <c:axPos val="b"/>
        <c:numFmt formatCode="[$-409]mmm/yy;@" sourceLinked="1"/>
        <c:majorTickMark val="out"/>
        <c:minorTickMark val="none"/>
        <c:tickLblPos val="nextTo"/>
        <c:crossAx val="178488267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1.5256633103974923E-2"/>
          <c:y val="2.6851851851851846E-2"/>
          <c:w val="0.14140472683368308"/>
          <c:h val="0.127754787247514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bg1"/>
              </a:solidFill>
              <a:latin typeface="Lato" panose="020F0502020204030203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bg1"/>
          </a:solidFill>
          <a:latin typeface="Lato" panose="020F050202020403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'Dashboard Financial'!$A$137</c:f>
              <c:strCache>
                <c:ptCount val="1"/>
                <c:pt idx="0">
                  <c:v>GP%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Lato" panose="020F0502020204030203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'Dashboard Financial'!$B$134:$M$134</c:f>
              <c:numCache>
                <c:formatCode>[$-409]mmm/yy;@</c:formatCode>
                <c:ptCount val="12"/>
                <c:pt idx="0">
                  <c:v>44681</c:v>
                </c:pt>
                <c:pt idx="1">
                  <c:v>44712</c:v>
                </c:pt>
                <c:pt idx="2">
                  <c:v>44742</c:v>
                </c:pt>
                <c:pt idx="3">
                  <c:v>44773</c:v>
                </c:pt>
                <c:pt idx="4">
                  <c:v>44804</c:v>
                </c:pt>
                <c:pt idx="5">
                  <c:v>44834</c:v>
                </c:pt>
                <c:pt idx="6">
                  <c:v>44865</c:v>
                </c:pt>
                <c:pt idx="7">
                  <c:v>44895</c:v>
                </c:pt>
                <c:pt idx="8">
                  <c:v>44926</c:v>
                </c:pt>
                <c:pt idx="9">
                  <c:v>44957</c:v>
                </c:pt>
                <c:pt idx="10">
                  <c:v>44985</c:v>
                </c:pt>
                <c:pt idx="11">
                  <c:v>45016</c:v>
                </c:pt>
              </c:numCache>
            </c:numRef>
          </c:cat>
          <c:val>
            <c:numRef>
              <c:f>'Dashboard Financial'!$B$137:$M$137</c:f>
              <c:numCache>
                <c:formatCode>0%</c:formatCode>
                <c:ptCount val="12"/>
                <c:pt idx="0">
                  <c:v>0.13462434092199016</c:v>
                </c:pt>
                <c:pt idx="1">
                  <c:v>0.13787757878601756</c:v>
                </c:pt>
                <c:pt idx="2">
                  <c:v>0.13131693443257661</c:v>
                </c:pt>
                <c:pt idx="3">
                  <c:v>8.8058359345003612E-2</c:v>
                </c:pt>
                <c:pt idx="4">
                  <c:v>8.7562295458299702E-2</c:v>
                </c:pt>
                <c:pt idx="5">
                  <c:v>9.0858790545540732E-2</c:v>
                </c:pt>
                <c:pt idx="6">
                  <c:v>0.11378512421853121</c:v>
                </c:pt>
                <c:pt idx="7">
                  <c:v>0.1140377939273205</c:v>
                </c:pt>
                <c:pt idx="8">
                  <c:v>0.11842746772627066</c:v>
                </c:pt>
                <c:pt idx="9">
                  <c:v>0.12013670065914762</c:v>
                </c:pt>
                <c:pt idx="10">
                  <c:v>0.11815114020671386</c:v>
                </c:pt>
                <c:pt idx="11">
                  <c:v>0.11729245228061762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53-4FC4-8EC5-DCA8566FEEEB}"/>
            </c:ext>
          </c:extLst>
        </c:ser>
        <c:ser>
          <c:idx val="3"/>
          <c:order val="1"/>
          <c:tx>
            <c:strRef>
              <c:f>'Dashboard Financial'!$A$138</c:f>
              <c:strCache>
                <c:ptCount val="1"/>
                <c:pt idx="0">
                  <c:v>Max GP%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053-4FC4-8EC5-DCA8566FEEEB}"/>
              </c:ext>
            </c:extLst>
          </c:dPt>
          <c:cat>
            <c:numRef>
              <c:f>'Dashboard Financial'!$B$134:$M$134</c:f>
              <c:numCache>
                <c:formatCode>[$-409]mmm/yy;@</c:formatCode>
                <c:ptCount val="12"/>
                <c:pt idx="0">
                  <c:v>44681</c:v>
                </c:pt>
                <c:pt idx="1">
                  <c:v>44712</c:v>
                </c:pt>
                <c:pt idx="2">
                  <c:v>44742</c:v>
                </c:pt>
                <c:pt idx="3">
                  <c:v>44773</c:v>
                </c:pt>
                <c:pt idx="4">
                  <c:v>44804</c:v>
                </c:pt>
                <c:pt idx="5">
                  <c:v>44834</c:v>
                </c:pt>
                <c:pt idx="6">
                  <c:v>44865</c:v>
                </c:pt>
                <c:pt idx="7">
                  <c:v>44895</c:v>
                </c:pt>
                <c:pt idx="8">
                  <c:v>44926</c:v>
                </c:pt>
                <c:pt idx="9">
                  <c:v>44957</c:v>
                </c:pt>
                <c:pt idx="10">
                  <c:v>44985</c:v>
                </c:pt>
                <c:pt idx="11">
                  <c:v>45016</c:v>
                </c:pt>
              </c:numCache>
            </c:numRef>
          </c:cat>
          <c:val>
            <c:numRef>
              <c:f>'Dashboard Financial'!$B$138:$M$138</c:f>
              <c:numCache>
                <c:formatCode>0%</c:formatCode>
                <c:ptCount val="12"/>
                <c:pt idx="0">
                  <c:v>0</c:v>
                </c:pt>
                <c:pt idx="1">
                  <c:v>0.13787757878601756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53-4FC4-8EC5-DCA8566FEEEB}"/>
            </c:ext>
          </c:extLst>
        </c:ser>
        <c:ser>
          <c:idx val="4"/>
          <c:order val="2"/>
          <c:tx>
            <c:strRef>
              <c:f>'Dashboard Financial'!$A$139</c:f>
              <c:strCache>
                <c:ptCount val="1"/>
                <c:pt idx="0">
                  <c:v>Min GP%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Financial'!$B$134:$M$134</c:f>
              <c:numCache>
                <c:formatCode>[$-409]mmm/yy;@</c:formatCode>
                <c:ptCount val="12"/>
                <c:pt idx="0">
                  <c:v>44681</c:v>
                </c:pt>
                <c:pt idx="1">
                  <c:v>44712</c:v>
                </c:pt>
                <c:pt idx="2">
                  <c:v>44742</c:v>
                </c:pt>
                <c:pt idx="3">
                  <c:v>44773</c:v>
                </c:pt>
                <c:pt idx="4">
                  <c:v>44804</c:v>
                </c:pt>
                <c:pt idx="5">
                  <c:v>44834</c:v>
                </c:pt>
                <c:pt idx="6">
                  <c:v>44865</c:v>
                </c:pt>
                <c:pt idx="7">
                  <c:v>44895</c:v>
                </c:pt>
                <c:pt idx="8">
                  <c:v>44926</c:v>
                </c:pt>
                <c:pt idx="9">
                  <c:v>44957</c:v>
                </c:pt>
                <c:pt idx="10">
                  <c:v>44985</c:v>
                </c:pt>
                <c:pt idx="11">
                  <c:v>45016</c:v>
                </c:pt>
              </c:numCache>
            </c:numRef>
          </c:cat>
          <c:val>
            <c:numRef>
              <c:f>'Dashboard Financial'!$B$139:$M$139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8.7562295458299702E-2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053-4FC4-8EC5-DCA8566FEE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0"/>
        <c:overlap val="100"/>
        <c:axId val="379824111"/>
        <c:axId val="2029478544"/>
      </c:barChart>
      <c:dateAx>
        <c:axId val="379824111"/>
        <c:scaling>
          <c:orientation val="minMax"/>
        </c:scaling>
        <c:delete val="0"/>
        <c:axPos val="b"/>
        <c:numFmt formatCode="[$-409]mmm/yy;@" sourceLinked="1"/>
        <c:majorTickMark val="out"/>
        <c:minorTickMark val="none"/>
        <c:tickLblPos val="none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en-US"/>
          </a:p>
        </c:txPr>
        <c:crossAx val="2029478544"/>
        <c:crosses val="autoZero"/>
        <c:auto val="1"/>
        <c:lblOffset val="100"/>
        <c:baseTimeUnit val="months"/>
      </c:dateAx>
      <c:valAx>
        <c:axId val="2029478544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Lato" panose="020F0502020204030203" pitchFamily="34" charset="0"/>
                    <a:ea typeface="+mn-ea"/>
                    <a:cs typeface="+mn-cs"/>
                  </a:defRPr>
                </a:pPr>
                <a:r>
                  <a:rPr lang="en-US"/>
                  <a:t>GP%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bg1"/>
                  </a:solidFill>
                  <a:latin typeface="Lato" panose="020F0502020204030203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crossAx val="3798241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bg1"/>
          </a:solidFill>
          <a:latin typeface="Lato" panose="020F050202020403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'Dashboard Financial'!$A$141</c:f>
              <c:strCache>
                <c:ptCount val="1"/>
                <c:pt idx="0">
                  <c:v>NP%</c:v>
                </c:pt>
              </c:strCache>
            </c:strRef>
          </c:tx>
          <c:spPr>
            <a:solidFill>
              <a:srgbClr val="7F7F7F"/>
            </a:solidFill>
            <a:ln>
              <a:noFill/>
            </a:ln>
            <a:effectLst/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Lato" panose="020F0502020204030203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'Dashboard Financial'!$B$134:$M$134</c:f>
              <c:numCache>
                <c:formatCode>[$-409]mmm/yy;@</c:formatCode>
                <c:ptCount val="12"/>
                <c:pt idx="0">
                  <c:v>44681</c:v>
                </c:pt>
                <c:pt idx="1">
                  <c:v>44712</c:v>
                </c:pt>
                <c:pt idx="2">
                  <c:v>44742</c:v>
                </c:pt>
                <c:pt idx="3">
                  <c:v>44773</c:v>
                </c:pt>
                <c:pt idx="4">
                  <c:v>44804</c:v>
                </c:pt>
                <c:pt idx="5">
                  <c:v>44834</c:v>
                </c:pt>
                <c:pt idx="6">
                  <c:v>44865</c:v>
                </c:pt>
                <c:pt idx="7">
                  <c:v>44895</c:v>
                </c:pt>
                <c:pt idx="8">
                  <c:v>44926</c:v>
                </c:pt>
                <c:pt idx="9">
                  <c:v>44957</c:v>
                </c:pt>
                <c:pt idx="10">
                  <c:v>44985</c:v>
                </c:pt>
                <c:pt idx="11">
                  <c:v>45016</c:v>
                </c:pt>
              </c:numCache>
            </c:numRef>
          </c:cat>
          <c:val>
            <c:numRef>
              <c:f>'Dashboard Financial'!$B$141:$M$141</c:f>
              <c:numCache>
                <c:formatCode>0%</c:formatCode>
                <c:ptCount val="12"/>
                <c:pt idx="0">
                  <c:v>0.13449775891488999</c:v>
                </c:pt>
                <c:pt idx="1">
                  <c:v>0.13776183589211977</c:v>
                </c:pt>
                <c:pt idx="2">
                  <c:v>0.13120919731581379</c:v>
                </c:pt>
                <c:pt idx="3">
                  <c:v>8.7948948347995576E-2</c:v>
                </c:pt>
                <c:pt idx="4">
                  <c:v>8.748794148244575E-2</c:v>
                </c:pt>
                <c:pt idx="5">
                  <c:v>9.0792614624351953E-2</c:v>
                </c:pt>
                <c:pt idx="6">
                  <c:v>0.11370116432396708</c:v>
                </c:pt>
                <c:pt idx="7">
                  <c:v>0.11395491246287491</c:v>
                </c:pt>
                <c:pt idx="8">
                  <c:v>0.11822428879453742</c:v>
                </c:pt>
                <c:pt idx="9">
                  <c:v>0.12003070133355742</c:v>
                </c:pt>
                <c:pt idx="10">
                  <c:v>0.11796848252686765</c:v>
                </c:pt>
                <c:pt idx="11">
                  <c:v>0.11712079543174903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0000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0-85F9-4EE2-8676-D22BBDC2F93E}"/>
            </c:ext>
          </c:extLst>
        </c:ser>
        <c:ser>
          <c:idx val="3"/>
          <c:order val="1"/>
          <c:tx>
            <c:strRef>
              <c:f>'Dashboard Financial'!$A$142</c:f>
              <c:strCache>
                <c:ptCount val="1"/>
                <c:pt idx="0">
                  <c:v>Max NP%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Financial'!$B$134:$M$134</c:f>
              <c:numCache>
                <c:formatCode>[$-409]mmm/yy;@</c:formatCode>
                <c:ptCount val="12"/>
                <c:pt idx="0">
                  <c:v>44681</c:v>
                </c:pt>
                <c:pt idx="1">
                  <c:v>44712</c:v>
                </c:pt>
                <c:pt idx="2">
                  <c:v>44742</c:v>
                </c:pt>
                <c:pt idx="3">
                  <c:v>44773</c:v>
                </c:pt>
                <c:pt idx="4">
                  <c:v>44804</c:v>
                </c:pt>
                <c:pt idx="5">
                  <c:v>44834</c:v>
                </c:pt>
                <c:pt idx="6">
                  <c:v>44865</c:v>
                </c:pt>
                <c:pt idx="7">
                  <c:v>44895</c:v>
                </c:pt>
                <c:pt idx="8">
                  <c:v>44926</c:v>
                </c:pt>
                <c:pt idx="9">
                  <c:v>44957</c:v>
                </c:pt>
                <c:pt idx="10">
                  <c:v>44985</c:v>
                </c:pt>
                <c:pt idx="11">
                  <c:v>45016</c:v>
                </c:pt>
              </c:numCache>
            </c:numRef>
          </c:cat>
          <c:val>
            <c:numRef>
              <c:f>'Dashboard Financial'!$B$142:$M$142</c:f>
              <c:numCache>
                <c:formatCode>0%</c:formatCode>
                <c:ptCount val="12"/>
                <c:pt idx="0">
                  <c:v>0</c:v>
                </c:pt>
                <c:pt idx="1">
                  <c:v>0.13776183589211977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5F9-4EE2-8676-D22BBDC2F93E}"/>
            </c:ext>
          </c:extLst>
        </c:ser>
        <c:ser>
          <c:idx val="4"/>
          <c:order val="2"/>
          <c:tx>
            <c:strRef>
              <c:f>'Dashboard Financial'!$A$143</c:f>
              <c:strCache>
                <c:ptCount val="1"/>
                <c:pt idx="0">
                  <c:v>Min NP%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Financial'!$B$134:$M$134</c:f>
              <c:numCache>
                <c:formatCode>[$-409]mmm/yy;@</c:formatCode>
                <c:ptCount val="12"/>
                <c:pt idx="0">
                  <c:v>44681</c:v>
                </c:pt>
                <c:pt idx="1">
                  <c:v>44712</c:v>
                </c:pt>
                <c:pt idx="2">
                  <c:v>44742</c:v>
                </c:pt>
                <c:pt idx="3">
                  <c:v>44773</c:v>
                </c:pt>
                <c:pt idx="4">
                  <c:v>44804</c:v>
                </c:pt>
                <c:pt idx="5">
                  <c:v>44834</c:v>
                </c:pt>
                <c:pt idx="6">
                  <c:v>44865</c:v>
                </c:pt>
                <c:pt idx="7">
                  <c:v>44895</c:v>
                </c:pt>
                <c:pt idx="8">
                  <c:v>44926</c:v>
                </c:pt>
                <c:pt idx="9">
                  <c:v>44957</c:v>
                </c:pt>
                <c:pt idx="10">
                  <c:v>44985</c:v>
                </c:pt>
                <c:pt idx="11">
                  <c:v>45016</c:v>
                </c:pt>
              </c:numCache>
            </c:numRef>
          </c:cat>
          <c:val>
            <c:numRef>
              <c:f>'Dashboard Financial'!$B$143:$M$143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8.748794148244575E-2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5F9-4EE2-8676-D22BBDC2F9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0"/>
        <c:overlap val="100"/>
        <c:axId val="379824111"/>
        <c:axId val="2029478544"/>
      </c:barChart>
      <c:dateAx>
        <c:axId val="379824111"/>
        <c:scaling>
          <c:orientation val="minMax"/>
        </c:scaling>
        <c:delete val="0"/>
        <c:axPos val="b"/>
        <c:numFmt formatCode="[$-409]mmm/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en-US"/>
          </a:p>
        </c:txPr>
        <c:crossAx val="2029478544"/>
        <c:crosses val="autoZero"/>
        <c:auto val="1"/>
        <c:lblOffset val="100"/>
        <c:baseTimeUnit val="months"/>
      </c:dateAx>
      <c:valAx>
        <c:axId val="2029478544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Lato" panose="020F0502020204030203" pitchFamily="34" charset="0"/>
                    <a:ea typeface="+mn-ea"/>
                    <a:cs typeface="+mn-cs"/>
                  </a:defRPr>
                </a:pPr>
                <a:r>
                  <a:rPr lang="en-US"/>
                  <a:t>NP%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bg1"/>
                  </a:solidFill>
                  <a:latin typeface="Lato" panose="020F0502020204030203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crossAx val="3798241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bg1"/>
          </a:solidFill>
          <a:latin typeface="Lato" panose="020F050202020403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bg1"/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r>
              <a:rPr lang="en-US" sz="1100"/>
              <a:t>Monthly: Sales v Collection v Payment and OCF</a:t>
            </a:r>
          </a:p>
        </c:rich>
      </c:tx>
      <c:layout>
        <c:manualLayout>
          <c:xMode val="edge"/>
          <c:yMode val="edge"/>
          <c:x val="0.86513826686843542"/>
          <c:y val="2.26950320813042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bg1"/>
              </a:solidFill>
              <a:latin typeface="Lato" panose="020F0502020204030203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9622261584063581E-2"/>
          <c:y val="0.12469073551263223"/>
          <c:w val="0.92075547683187287"/>
          <c:h val="0.7875616928111252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'Dashboard Financial'!$A$147</c:f>
              <c:strCache>
                <c:ptCount val="1"/>
                <c:pt idx="0">
                  <c:v>Collection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Financial'!$B$145:$M$145</c:f>
              <c:numCache>
                <c:formatCode>[$-409]mmm/yy;@</c:formatCode>
                <c:ptCount val="12"/>
                <c:pt idx="0">
                  <c:v>44681</c:v>
                </c:pt>
                <c:pt idx="1">
                  <c:v>44712</c:v>
                </c:pt>
                <c:pt idx="2">
                  <c:v>44742</c:v>
                </c:pt>
                <c:pt idx="3">
                  <c:v>44773</c:v>
                </c:pt>
                <c:pt idx="4">
                  <c:v>44804</c:v>
                </c:pt>
                <c:pt idx="5">
                  <c:v>44834</c:v>
                </c:pt>
                <c:pt idx="6">
                  <c:v>44865</c:v>
                </c:pt>
                <c:pt idx="7">
                  <c:v>44895</c:v>
                </c:pt>
                <c:pt idx="8">
                  <c:v>44926</c:v>
                </c:pt>
                <c:pt idx="9">
                  <c:v>44957</c:v>
                </c:pt>
                <c:pt idx="10">
                  <c:v>44985</c:v>
                </c:pt>
                <c:pt idx="11">
                  <c:v>45016</c:v>
                </c:pt>
              </c:numCache>
            </c:numRef>
          </c:cat>
          <c:val>
            <c:numRef>
              <c:f>'Dashboard Financial'!$B$147:$M$147</c:f>
              <c:numCache>
                <c:formatCode>_(* #,##0_);_(* \(#,##0\);_(* "-"??_);_(@_)</c:formatCode>
                <c:ptCount val="12"/>
                <c:pt idx="0">
                  <c:v>19603.892028953756</c:v>
                </c:pt>
                <c:pt idx="1">
                  <c:v>23587.649127010056</c:v>
                </c:pt>
                <c:pt idx="2">
                  <c:v>25555.311533956959</c:v>
                </c:pt>
                <c:pt idx="3">
                  <c:v>25479.002656189568</c:v>
                </c:pt>
                <c:pt idx="4">
                  <c:v>36283.920696001675</c:v>
                </c:pt>
                <c:pt idx="5">
                  <c:v>41603.488276559801</c:v>
                </c:pt>
                <c:pt idx="6">
                  <c:v>33999.994819216059</c:v>
                </c:pt>
                <c:pt idx="7">
                  <c:v>33448.715291395078</c:v>
                </c:pt>
                <c:pt idx="8">
                  <c:v>15625.079093147086</c:v>
                </c:pt>
                <c:pt idx="9">
                  <c:v>24931.982632442239</c:v>
                </c:pt>
                <c:pt idx="10">
                  <c:v>16323.563924933516</c:v>
                </c:pt>
                <c:pt idx="11">
                  <c:v>16084.740752328422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8E-42B0-B3A8-2E8C0E2397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9"/>
        <c:overlap val="-27"/>
        <c:axId val="366189439"/>
        <c:axId val="1784922192"/>
      </c:barChart>
      <c:barChart>
        <c:barDir val="col"/>
        <c:grouping val="clustered"/>
        <c:varyColors val="0"/>
        <c:ser>
          <c:idx val="2"/>
          <c:order val="2"/>
          <c:tx>
            <c:strRef>
              <c:f>'Dashboard Financial'!$A$148</c:f>
              <c:strCache>
                <c:ptCount val="1"/>
                <c:pt idx="0">
                  <c:v>Payments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'Dashboard Financial'!$B$145:$M$145</c:f>
              <c:numCache>
                <c:formatCode>[$-409]mmm/yy;@</c:formatCode>
                <c:ptCount val="12"/>
                <c:pt idx="0">
                  <c:v>44681</c:v>
                </c:pt>
                <c:pt idx="1">
                  <c:v>44712</c:v>
                </c:pt>
                <c:pt idx="2">
                  <c:v>44742</c:v>
                </c:pt>
                <c:pt idx="3">
                  <c:v>44773</c:v>
                </c:pt>
                <c:pt idx="4">
                  <c:v>44804</c:v>
                </c:pt>
                <c:pt idx="5">
                  <c:v>44834</c:v>
                </c:pt>
                <c:pt idx="6">
                  <c:v>44865</c:v>
                </c:pt>
                <c:pt idx="7">
                  <c:v>44895</c:v>
                </c:pt>
                <c:pt idx="8">
                  <c:v>44926</c:v>
                </c:pt>
                <c:pt idx="9">
                  <c:v>44957</c:v>
                </c:pt>
                <c:pt idx="10">
                  <c:v>44985</c:v>
                </c:pt>
                <c:pt idx="11">
                  <c:v>45016</c:v>
                </c:pt>
              </c:numCache>
            </c:numRef>
          </c:cat>
          <c:val>
            <c:numRef>
              <c:f>'Dashboard Financial'!$B$148:$M$148</c:f>
              <c:numCache>
                <c:formatCode>_(* #,##0_);_(* \(#,##0\);_(* "-"??_);_(@_)</c:formatCode>
                <c:ptCount val="12"/>
                <c:pt idx="0">
                  <c:v>17730.402421500003</c:v>
                </c:pt>
                <c:pt idx="1">
                  <c:v>19700.537098999997</c:v>
                </c:pt>
                <c:pt idx="2">
                  <c:v>20800.604423000001</c:v>
                </c:pt>
                <c:pt idx="3">
                  <c:v>22363.965057499998</c:v>
                </c:pt>
                <c:pt idx="4">
                  <c:v>32483.100015</c:v>
                </c:pt>
                <c:pt idx="5">
                  <c:v>36283.145697500004</c:v>
                </c:pt>
                <c:pt idx="6">
                  <c:v>27986.912909999999</c:v>
                </c:pt>
                <c:pt idx="7">
                  <c:v>27882.624424999998</c:v>
                </c:pt>
                <c:pt idx="8">
                  <c:v>11675.151358249999</c:v>
                </c:pt>
                <c:pt idx="9">
                  <c:v>22242.333017499997</c:v>
                </c:pt>
                <c:pt idx="10">
                  <c:v>12997.003607500003</c:v>
                </c:pt>
                <c:pt idx="11">
                  <c:v>13587.0436075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8E-42B0-B3A8-2E8C0E2397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4"/>
        <c:overlap val="-27"/>
        <c:axId val="366174239"/>
        <c:axId val="1784919696"/>
      </c:barChart>
      <c:lineChart>
        <c:grouping val="standard"/>
        <c:varyColors val="0"/>
        <c:ser>
          <c:idx val="0"/>
          <c:order val="0"/>
          <c:tx>
            <c:strRef>
              <c:f>'Dashboard Financial'!$A$146</c:f>
              <c:strCache>
                <c:ptCount val="1"/>
                <c:pt idx="0">
                  <c:v>Sales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numRef>
              <c:f>'Dashboard Financial'!$B$145:$M$145</c:f>
              <c:numCache>
                <c:formatCode>[$-409]mmm/yy;@</c:formatCode>
                <c:ptCount val="12"/>
                <c:pt idx="0">
                  <c:v>44681</c:v>
                </c:pt>
                <c:pt idx="1">
                  <c:v>44712</c:v>
                </c:pt>
                <c:pt idx="2">
                  <c:v>44742</c:v>
                </c:pt>
                <c:pt idx="3">
                  <c:v>44773</c:v>
                </c:pt>
                <c:pt idx="4">
                  <c:v>44804</c:v>
                </c:pt>
                <c:pt idx="5">
                  <c:v>44834</c:v>
                </c:pt>
                <c:pt idx="6">
                  <c:v>44865</c:v>
                </c:pt>
                <c:pt idx="7">
                  <c:v>44895</c:v>
                </c:pt>
                <c:pt idx="8">
                  <c:v>44926</c:v>
                </c:pt>
                <c:pt idx="9">
                  <c:v>44957</c:v>
                </c:pt>
                <c:pt idx="10">
                  <c:v>44985</c:v>
                </c:pt>
                <c:pt idx="11">
                  <c:v>45016</c:v>
                </c:pt>
              </c:numCache>
            </c:numRef>
          </c:cat>
          <c:val>
            <c:numRef>
              <c:f>'Dashboard Financial'!$B$146:$M$146</c:f>
              <c:numCache>
                <c:formatCode>_(* #,##0_);_(* \(#,##0\);_(* "-"??_);_(@_)</c:formatCode>
                <c:ptCount val="12"/>
                <c:pt idx="0">
                  <c:v>21782.102254393063</c:v>
                </c:pt>
                <c:pt idx="1">
                  <c:v>23788.265446189722</c:v>
                </c:pt>
                <c:pt idx="2">
                  <c:v>25751.649988153324</c:v>
                </c:pt>
                <c:pt idx="3">
                  <c:v>25448.708508193595</c:v>
                </c:pt>
                <c:pt idx="4">
                  <c:v>37487.833161313676</c:v>
                </c:pt>
                <c:pt idx="5">
                  <c:v>42060.78328936491</c:v>
                </c:pt>
                <c:pt idx="6">
                  <c:v>33104.351655866187</c:v>
                </c:pt>
                <c:pt idx="7">
                  <c:v>33486.977917564953</c:v>
                </c:pt>
                <c:pt idx="8">
                  <c:v>13640.42366821177</c:v>
                </c:pt>
                <c:pt idx="9">
                  <c:v>26186.600295134514</c:v>
                </c:pt>
                <c:pt idx="10">
                  <c:v>15227.670994911181</c:v>
                </c:pt>
                <c:pt idx="11">
                  <c:v>16179.970725374784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8E-42B0-B3A8-2E8C0E239702}"/>
            </c:ext>
          </c:extLst>
        </c:ser>
        <c:ser>
          <c:idx val="4"/>
          <c:order val="3"/>
          <c:tx>
            <c:strRef>
              <c:f>'Dashboard Financial'!$A$150</c:f>
              <c:strCache>
                <c:ptCount val="1"/>
                <c:pt idx="0">
                  <c:v>BL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numRef>
              <c:f>'Dashboard Financial'!$B$145:$M$145</c:f>
              <c:numCache>
                <c:formatCode>[$-409]mmm/yy;@</c:formatCode>
                <c:ptCount val="12"/>
                <c:pt idx="0">
                  <c:v>44681</c:v>
                </c:pt>
                <c:pt idx="1">
                  <c:v>44712</c:v>
                </c:pt>
                <c:pt idx="2">
                  <c:v>44742</c:v>
                </c:pt>
                <c:pt idx="3">
                  <c:v>44773</c:v>
                </c:pt>
                <c:pt idx="4">
                  <c:v>44804</c:v>
                </c:pt>
                <c:pt idx="5">
                  <c:v>44834</c:v>
                </c:pt>
                <c:pt idx="6">
                  <c:v>44865</c:v>
                </c:pt>
                <c:pt idx="7">
                  <c:v>44895</c:v>
                </c:pt>
                <c:pt idx="8">
                  <c:v>44926</c:v>
                </c:pt>
                <c:pt idx="9">
                  <c:v>44957</c:v>
                </c:pt>
                <c:pt idx="10">
                  <c:v>44985</c:v>
                </c:pt>
                <c:pt idx="11">
                  <c:v>45016</c:v>
                </c:pt>
              </c:numCache>
            </c:numRef>
          </c:cat>
          <c:val>
            <c:numRef>
              <c:f>'Dashboard Financial'!$B$150:$M$150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68E-42B0-B3A8-2E8C0E2397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upDownBars>
          <c:gapWidth val="40"/>
          <c:upBars>
            <c:spPr>
              <a:solidFill>
                <a:schemeClr val="lt1"/>
              </a:solidFill>
              <a:ln w="9525">
                <a:solidFill>
                  <a:schemeClr val="tx1">
                    <a:lumMod val="15000"/>
                    <a:lumOff val="85000"/>
                  </a:schemeClr>
                </a:solidFill>
              </a:ln>
              <a:effectLst/>
            </c:spPr>
          </c:upBars>
          <c:downBars>
            <c:spPr>
              <a:solidFill>
                <a:schemeClr val="accent1">
                  <a:lumMod val="20000"/>
                  <a:lumOff val="80000"/>
                  <a:alpha val="41000"/>
                </a:schemeClr>
              </a:solidFill>
              <a:ln w="9525">
                <a:noFill/>
              </a:ln>
              <a:effectLst/>
            </c:spPr>
          </c:downBars>
        </c:upDownBars>
        <c:marker val="1"/>
        <c:smooth val="0"/>
        <c:axId val="366189439"/>
        <c:axId val="1784922192"/>
      </c:lineChart>
      <c:dateAx>
        <c:axId val="366189439"/>
        <c:scaling>
          <c:orientation val="minMax"/>
        </c:scaling>
        <c:delete val="0"/>
        <c:axPos val="b"/>
        <c:numFmt formatCode="[$-409]mmm/yy;@" sourceLinked="1"/>
        <c:majorTickMark val="out"/>
        <c:minorTickMark val="none"/>
        <c:tickLblPos val="none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en-US"/>
          </a:p>
        </c:txPr>
        <c:crossAx val="1784922192"/>
        <c:crosses val="autoZero"/>
        <c:auto val="1"/>
        <c:lblOffset val="100"/>
        <c:baseTimeUnit val="months"/>
      </c:dateAx>
      <c:valAx>
        <c:axId val="1784922192"/>
        <c:scaling>
          <c:orientation val="minMax"/>
        </c:scaling>
        <c:delete val="1"/>
        <c:axPos val="l"/>
        <c:numFmt formatCode="_(* #,##0_);_(* \(#,##0\);_(* &quot;-&quot;??_);_(@_)" sourceLinked="1"/>
        <c:majorTickMark val="none"/>
        <c:minorTickMark val="none"/>
        <c:tickLblPos val="nextTo"/>
        <c:crossAx val="366189439"/>
        <c:crosses val="autoZero"/>
        <c:crossBetween val="between"/>
      </c:valAx>
      <c:valAx>
        <c:axId val="1784919696"/>
        <c:scaling>
          <c:orientation val="minMax"/>
          <c:max val="120"/>
        </c:scaling>
        <c:delete val="1"/>
        <c:axPos val="r"/>
        <c:numFmt formatCode="_(* #,##0_);_(* \(#,##0\);_(* &quot;-&quot;??_);_(@_)" sourceLinked="1"/>
        <c:majorTickMark val="out"/>
        <c:minorTickMark val="none"/>
        <c:tickLblPos val="nextTo"/>
        <c:crossAx val="366174239"/>
        <c:crosses val="max"/>
        <c:crossBetween val="between"/>
      </c:valAx>
      <c:dateAx>
        <c:axId val="366174239"/>
        <c:scaling>
          <c:orientation val="minMax"/>
        </c:scaling>
        <c:delete val="1"/>
        <c:axPos val="b"/>
        <c:numFmt formatCode="[$-409]mmm/yy;@" sourceLinked="1"/>
        <c:majorTickMark val="out"/>
        <c:minorTickMark val="none"/>
        <c:tickLblPos val="nextTo"/>
        <c:crossAx val="1784919696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t"/>
      <c:legendEntry>
        <c:idx val="3"/>
        <c:delete val="1"/>
      </c:legendEntry>
      <c:layout>
        <c:manualLayout>
          <c:xMode val="edge"/>
          <c:yMode val="edge"/>
          <c:x val="1.3177720500216069E-2"/>
          <c:y val="2.6817962909407817E-2"/>
          <c:w val="0.36614056995747851"/>
          <c:h val="9.90614136018397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bg1"/>
              </a:solidFill>
              <a:latin typeface="Lato" panose="020F0502020204030203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bg1"/>
          </a:solidFill>
          <a:latin typeface="Lato" panose="020F050202020403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'Dashboard Financial'!$A$149</c:f>
              <c:strCache>
                <c:ptCount val="1"/>
                <c:pt idx="0">
                  <c:v>OCF</c:v>
                </c:pt>
              </c:strCache>
            </c:strRef>
          </c:tx>
          <c:spPr>
            <a:solidFill>
              <a:srgbClr val="B4C7E7"/>
            </a:solidFill>
            <a:ln>
              <a:noFill/>
            </a:ln>
            <a:effectLst/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Lato" panose="020F0502020204030203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'Dashboard Financial'!$B$145:$M$145</c:f>
              <c:numCache>
                <c:formatCode>[$-409]mmm/yy;@</c:formatCode>
                <c:ptCount val="12"/>
                <c:pt idx="0">
                  <c:v>44681</c:v>
                </c:pt>
                <c:pt idx="1">
                  <c:v>44712</c:v>
                </c:pt>
                <c:pt idx="2">
                  <c:v>44742</c:v>
                </c:pt>
                <c:pt idx="3">
                  <c:v>44773</c:v>
                </c:pt>
                <c:pt idx="4">
                  <c:v>44804</c:v>
                </c:pt>
                <c:pt idx="5">
                  <c:v>44834</c:v>
                </c:pt>
                <c:pt idx="6">
                  <c:v>44865</c:v>
                </c:pt>
                <c:pt idx="7">
                  <c:v>44895</c:v>
                </c:pt>
                <c:pt idx="8">
                  <c:v>44926</c:v>
                </c:pt>
                <c:pt idx="9">
                  <c:v>44957</c:v>
                </c:pt>
                <c:pt idx="10">
                  <c:v>44985</c:v>
                </c:pt>
                <c:pt idx="11">
                  <c:v>45016</c:v>
                </c:pt>
              </c:numCache>
            </c:numRef>
          </c:cat>
          <c:val>
            <c:numRef>
              <c:f>'Dashboard Financial'!$B$149:$M$149</c:f>
              <c:numCache>
                <c:formatCode>_(* #,##0_);_(* \(#,##0\);_(* "-"??_);_(@_)</c:formatCode>
                <c:ptCount val="12"/>
                <c:pt idx="0">
                  <c:v>1755.919607453756</c:v>
                </c:pt>
                <c:pt idx="1">
                  <c:v>3780.3709275487327</c:v>
                </c:pt>
                <c:pt idx="2">
                  <c:v>4346.7515913242396</c:v>
                </c:pt>
                <c:pt idx="3">
                  <c:v>2822.1286078969015</c:v>
                </c:pt>
                <c:pt idx="4">
                  <c:v>3323.9804337821975</c:v>
                </c:pt>
                <c:pt idx="5">
                  <c:v>4876.6134902019203</c:v>
                </c:pt>
                <c:pt idx="6">
                  <c:v>5704.6725935636387</c:v>
                </c:pt>
                <c:pt idx="7">
                  <c:v>5278.770138847638</c:v>
                </c:pt>
                <c:pt idx="8">
                  <c:v>3843.2143437433465</c:v>
                </c:pt>
                <c:pt idx="9">
                  <c:v>2581.9952418603452</c:v>
                </c:pt>
                <c:pt idx="10">
                  <c:v>3219.8549774912335</c:v>
                </c:pt>
                <c:pt idx="11">
                  <c:v>2390.9958531500288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0000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3-FE18-433C-BA40-97ECFFA01BAA}"/>
            </c:ext>
          </c:extLst>
        </c:ser>
        <c:ser>
          <c:idx val="5"/>
          <c:order val="1"/>
          <c:tx>
            <c:strRef>
              <c:f>'Dashboard Financial'!$A$151</c:f>
              <c:strCache>
                <c:ptCount val="1"/>
                <c:pt idx="0">
                  <c:v>MAX OCF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Financial'!$B$145:$M$145</c:f>
              <c:numCache>
                <c:formatCode>[$-409]mmm/yy;@</c:formatCode>
                <c:ptCount val="12"/>
                <c:pt idx="0">
                  <c:v>44681</c:v>
                </c:pt>
                <c:pt idx="1">
                  <c:v>44712</c:v>
                </c:pt>
                <c:pt idx="2">
                  <c:v>44742</c:v>
                </c:pt>
                <c:pt idx="3">
                  <c:v>44773</c:v>
                </c:pt>
                <c:pt idx="4">
                  <c:v>44804</c:v>
                </c:pt>
                <c:pt idx="5">
                  <c:v>44834</c:v>
                </c:pt>
                <c:pt idx="6">
                  <c:v>44865</c:v>
                </c:pt>
                <c:pt idx="7">
                  <c:v>44895</c:v>
                </c:pt>
                <c:pt idx="8">
                  <c:v>44926</c:v>
                </c:pt>
                <c:pt idx="9">
                  <c:v>44957</c:v>
                </c:pt>
                <c:pt idx="10">
                  <c:v>44985</c:v>
                </c:pt>
                <c:pt idx="11">
                  <c:v>45016</c:v>
                </c:pt>
              </c:numCache>
            </c:numRef>
          </c:cat>
          <c:val>
            <c:numRef>
              <c:f>'Dashboard Financial'!$B$151:$M$151</c:f>
              <c:numCache>
                <c:formatCode>_(* #,##0_);_(* \(#,##0\);_(*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5704.6725935636387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E18-433C-BA40-97ECFFA01BAA}"/>
            </c:ext>
          </c:extLst>
        </c:ser>
        <c:ser>
          <c:idx val="6"/>
          <c:order val="2"/>
          <c:tx>
            <c:strRef>
              <c:f>'Dashboard Financial'!$A$152</c:f>
              <c:strCache>
                <c:ptCount val="1"/>
                <c:pt idx="0">
                  <c:v>MIN OCF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Financial'!$B$145:$M$145</c:f>
              <c:numCache>
                <c:formatCode>[$-409]mmm/yy;@</c:formatCode>
                <c:ptCount val="12"/>
                <c:pt idx="0">
                  <c:v>44681</c:v>
                </c:pt>
                <c:pt idx="1">
                  <c:v>44712</c:v>
                </c:pt>
                <c:pt idx="2">
                  <c:v>44742</c:v>
                </c:pt>
                <c:pt idx="3">
                  <c:v>44773</c:v>
                </c:pt>
                <c:pt idx="4">
                  <c:v>44804</c:v>
                </c:pt>
                <c:pt idx="5">
                  <c:v>44834</c:v>
                </c:pt>
                <c:pt idx="6">
                  <c:v>44865</c:v>
                </c:pt>
                <c:pt idx="7">
                  <c:v>44895</c:v>
                </c:pt>
                <c:pt idx="8">
                  <c:v>44926</c:v>
                </c:pt>
                <c:pt idx="9">
                  <c:v>44957</c:v>
                </c:pt>
                <c:pt idx="10">
                  <c:v>44985</c:v>
                </c:pt>
                <c:pt idx="11">
                  <c:v>45016</c:v>
                </c:pt>
              </c:numCache>
            </c:numRef>
          </c:cat>
          <c:val>
            <c:numRef>
              <c:f>'Dashboard Financial'!$B$152:$M$152</c:f>
              <c:numCache>
                <c:formatCode>_(* #,##0_);_(* \(#,##0\);_(* "-"??_);_(@_)</c:formatCode>
                <c:ptCount val="12"/>
                <c:pt idx="0">
                  <c:v>1755.919607453756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E18-433C-BA40-97ECFFA01B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020296064"/>
        <c:axId val="2055874960"/>
      </c:barChart>
      <c:dateAx>
        <c:axId val="1020296064"/>
        <c:scaling>
          <c:orientation val="minMax"/>
        </c:scaling>
        <c:delete val="0"/>
        <c:axPos val="b"/>
        <c:numFmt formatCode="[$-409]mmm/yy;@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en-US"/>
          </a:p>
        </c:txPr>
        <c:crossAx val="2055874960"/>
        <c:crosses val="autoZero"/>
        <c:auto val="1"/>
        <c:lblOffset val="100"/>
        <c:baseTimeUnit val="months"/>
      </c:dateAx>
      <c:valAx>
        <c:axId val="2055874960"/>
        <c:scaling>
          <c:orientation val="minMax"/>
        </c:scaling>
        <c:delete val="1"/>
        <c:axPos val="l"/>
        <c:numFmt formatCode="_(* #,##0_);_(* \(#,##0\);_(* &quot;-&quot;??_);_(@_)" sourceLinked="1"/>
        <c:majorTickMark val="none"/>
        <c:minorTickMark val="none"/>
        <c:tickLblPos val="nextTo"/>
        <c:crossAx val="1020296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bg1"/>
          </a:solidFill>
          <a:latin typeface="Lato" panose="020F050202020403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Style="combo" dx="22" fmlaLink="$C$103" fmlaRange="Ranges!$I$2:$I$3" sel="0" val="0"/>
</file>

<file path=xl/ctrlProps/ctrlProp2.xml><?xml version="1.0" encoding="utf-8"?>
<formControlPr xmlns="http://schemas.microsoft.com/office/spreadsheetml/2009/9/main" objectType="Drop" dropStyle="combo" dx="22" fmlaLink="$C$104" fmlaRange="Ranges!$I$2:$I$3" sel="0" val="0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613410</xdr:colOff>
      <xdr:row>42</xdr:row>
      <xdr:rowOff>137160</xdr:rowOff>
    </xdr:from>
    <xdr:to>
      <xdr:col>0</xdr:col>
      <xdr:colOff>613410</xdr:colOff>
      <xdr:row>70</xdr:row>
      <xdr:rowOff>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352425</xdr:colOff>
      <xdr:row>5</xdr:row>
      <xdr:rowOff>95250</xdr:rowOff>
    </xdr:from>
    <xdr:to>
      <xdr:col>22</xdr:col>
      <xdr:colOff>466725</xdr:colOff>
      <xdr:row>34</xdr:row>
      <xdr:rowOff>66675</xdr:rowOff>
    </xdr:to>
    <xdr:grpSp>
      <xdr:nvGrpSpPr>
        <xdr:cNvPr id="37" name="Group 36">
          <a:extLst>
            <a:ext uri="{FF2B5EF4-FFF2-40B4-BE49-F238E27FC236}">
              <a16:creationId xmlns:a16="http://schemas.microsoft.com/office/drawing/2014/main" id="{00000000-0008-0000-0800-000025000000}"/>
            </a:ext>
          </a:extLst>
        </xdr:cNvPr>
        <xdr:cNvGrpSpPr/>
      </xdr:nvGrpSpPr>
      <xdr:grpSpPr>
        <a:xfrm>
          <a:off x="8489496" y="911679"/>
          <a:ext cx="5965372" cy="4706710"/>
          <a:chOff x="10578353" y="1266264"/>
          <a:chExt cx="7653618" cy="5771029"/>
        </a:xfrm>
      </xdr:grpSpPr>
      <xdr:sp macro="" textlink="">
        <xdr:nvSpPr>
          <xdr:cNvPr id="34" name="Rectangle: Top Corners Rounded 33">
            <a:extLst>
              <a:ext uri="{FF2B5EF4-FFF2-40B4-BE49-F238E27FC236}">
                <a16:creationId xmlns:a16="http://schemas.microsoft.com/office/drawing/2014/main" id="{00000000-0008-0000-0800-000022000000}"/>
              </a:ext>
            </a:extLst>
          </xdr:cNvPr>
          <xdr:cNvSpPr/>
        </xdr:nvSpPr>
        <xdr:spPr>
          <a:xfrm>
            <a:off x="10578353" y="1266264"/>
            <a:ext cx="7653618" cy="5771029"/>
          </a:xfrm>
          <a:prstGeom prst="round2SameRect">
            <a:avLst/>
          </a:prstGeom>
          <a:solidFill>
            <a:schemeClr val="accent1">
              <a:lumMod val="75000"/>
              <a:alpha val="64000"/>
            </a:schemeClr>
          </a:solidFill>
          <a:ln>
            <a:noFill/>
          </a:ln>
          <a:effectLst>
            <a:outerShdw blurRad="50800" dist="38100" dir="5400000" algn="t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grpSp>
        <xdr:nvGrpSpPr>
          <xdr:cNvPr id="21" name="Group 20">
            <a:extLst>
              <a:ext uri="{FF2B5EF4-FFF2-40B4-BE49-F238E27FC236}">
                <a16:creationId xmlns:a16="http://schemas.microsoft.com/office/drawing/2014/main" id="{00000000-0008-0000-0800-000015000000}"/>
              </a:ext>
            </a:extLst>
          </xdr:cNvPr>
          <xdr:cNvGrpSpPr/>
        </xdr:nvGrpSpPr>
        <xdr:grpSpPr>
          <a:xfrm>
            <a:off x="11013704" y="1475259"/>
            <a:ext cx="6733055" cy="5257800"/>
            <a:chOff x="200025" y="1490662"/>
            <a:chExt cx="6610349" cy="5543896"/>
          </a:xfrm>
        </xdr:grpSpPr>
        <xdr:graphicFrame macro="">
          <xdr:nvGraphicFramePr>
            <xdr:cNvPr id="18" name="Chart 17">
              <a:extLst>
                <a:ext uri="{FF2B5EF4-FFF2-40B4-BE49-F238E27FC236}">
                  <a16:creationId xmlns:a16="http://schemas.microsoft.com/office/drawing/2014/main" id="{00000000-0008-0000-0800-000012000000}"/>
                </a:ext>
              </a:extLst>
            </xdr:cNvPr>
            <xdr:cNvGraphicFramePr/>
          </xdr:nvGraphicFramePr>
          <xdr:xfrm>
            <a:off x="228599" y="1490662"/>
            <a:ext cx="6581775" cy="2743201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graphicFrame macro="">
          <xdr:nvGraphicFramePr>
            <xdr:cNvPr id="19" name="Chart 18">
              <a:extLst>
                <a:ext uri="{FF2B5EF4-FFF2-40B4-BE49-F238E27FC236}">
                  <a16:creationId xmlns:a16="http://schemas.microsoft.com/office/drawing/2014/main" id="{00000000-0008-0000-0800-000013000000}"/>
                </a:ext>
              </a:extLst>
            </xdr:cNvPr>
            <xdr:cNvGraphicFramePr/>
          </xdr:nvGraphicFramePr>
          <xdr:xfrm>
            <a:off x="219075" y="4086225"/>
            <a:ext cx="6572250" cy="1709736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  <xdr:graphicFrame macro="">
          <xdr:nvGraphicFramePr>
            <xdr:cNvPr id="20" name="Chart 19">
              <a:extLst>
                <a:ext uri="{FF2B5EF4-FFF2-40B4-BE49-F238E27FC236}">
                  <a16:creationId xmlns:a16="http://schemas.microsoft.com/office/drawing/2014/main" id="{00000000-0008-0000-0800-000014000000}"/>
                </a:ext>
              </a:extLst>
            </xdr:cNvPr>
            <xdr:cNvGraphicFramePr>
              <a:graphicFrameLocks/>
            </xdr:cNvGraphicFramePr>
          </xdr:nvGraphicFramePr>
          <xdr:xfrm>
            <a:off x="200025" y="5787305"/>
            <a:ext cx="6572250" cy="1247253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4"/>
            </a:graphicData>
          </a:graphic>
        </xdr:graphicFrame>
      </xdr:grpSp>
    </xdr:grpSp>
    <xdr:clientData/>
  </xdr:twoCellAnchor>
  <xdr:twoCellAnchor>
    <xdr:from>
      <xdr:col>0</xdr:col>
      <xdr:colOff>419100</xdr:colOff>
      <xdr:row>6</xdr:row>
      <xdr:rowOff>9525</xdr:rowOff>
    </xdr:from>
    <xdr:to>
      <xdr:col>12</xdr:col>
      <xdr:colOff>152400</xdr:colOff>
      <xdr:row>35</xdr:row>
      <xdr:rowOff>66675</xdr:rowOff>
    </xdr:to>
    <xdr:grpSp>
      <xdr:nvGrpSpPr>
        <xdr:cNvPr id="33" name="Group 32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GrpSpPr/>
      </xdr:nvGrpSpPr>
      <xdr:grpSpPr>
        <a:xfrm>
          <a:off x="419100" y="989239"/>
          <a:ext cx="7870371" cy="4792436"/>
          <a:chOff x="212912" y="1143000"/>
          <a:chExt cx="9222441" cy="5849471"/>
        </a:xfrm>
        <a:gradFill flip="none" rotWithShape="1">
          <a:gsLst>
            <a:gs pos="0">
              <a:schemeClr val="accent1">
                <a:lumMod val="50000"/>
                <a:shade val="30000"/>
                <a:satMod val="115000"/>
              </a:schemeClr>
            </a:gs>
            <a:gs pos="50000">
              <a:schemeClr val="accent1">
                <a:lumMod val="50000"/>
                <a:shade val="67500"/>
                <a:satMod val="115000"/>
              </a:schemeClr>
            </a:gs>
            <a:gs pos="100000">
              <a:schemeClr val="accent1">
                <a:lumMod val="50000"/>
                <a:shade val="100000"/>
                <a:satMod val="115000"/>
              </a:schemeClr>
            </a:gs>
          </a:gsLst>
          <a:path path="circle">
            <a:fillToRect l="50000" t="50000" r="50000" b="50000"/>
          </a:path>
          <a:tileRect/>
        </a:gradFill>
      </xdr:grpSpPr>
      <xdr:sp macro="" textlink="">
        <xdr:nvSpPr>
          <xdr:cNvPr id="32" name="Rectangle 31">
            <a:extLst>
              <a:ext uri="{FF2B5EF4-FFF2-40B4-BE49-F238E27FC236}">
                <a16:creationId xmlns:a16="http://schemas.microsoft.com/office/drawing/2014/main" id="{00000000-0008-0000-0800-000020000000}"/>
              </a:ext>
            </a:extLst>
          </xdr:cNvPr>
          <xdr:cNvSpPr/>
        </xdr:nvSpPr>
        <xdr:spPr>
          <a:xfrm>
            <a:off x="212912" y="1143000"/>
            <a:ext cx="9222441" cy="5849471"/>
          </a:xfrm>
          <a:prstGeom prst="rect">
            <a:avLst/>
          </a:prstGeom>
          <a:grpFill/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grpSp>
        <xdr:nvGrpSpPr>
          <xdr:cNvPr id="26" name="Group 25">
            <a:extLst>
              <a:ext uri="{FF2B5EF4-FFF2-40B4-BE49-F238E27FC236}">
                <a16:creationId xmlns:a16="http://schemas.microsoft.com/office/drawing/2014/main" id="{00000000-0008-0000-0800-00001A000000}"/>
              </a:ext>
            </a:extLst>
          </xdr:cNvPr>
          <xdr:cNvGrpSpPr/>
        </xdr:nvGrpSpPr>
        <xdr:grpSpPr>
          <a:xfrm>
            <a:off x="302559" y="1494150"/>
            <a:ext cx="8953503" cy="5320431"/>
            <a:chOff x="0" y="1280188"/>
            <a:chExt cx="9563100" cy="5649248"/>
          </a:xfrm>
          <a:grpFill/>
        </xdr:grpSpPr>
        <xdr:graphicFrame macro="">
          <xdr:nvGraphicFramePr>
            <xdr:cNvPr id="22" name="Chart 21">
              <a:extLst>
                <a:ext uri="{FF2B5EF4-FFF2-40B4-BE49-F238E27FC236}">
                  <a16:creationId xmlns:a16="http://schemas.microsoft.com/office/drawing/2014/main" id="{00000000-0008-0000-0800-000016000000}"/>
                </a:ext>
              </a:extLst>
            </xdr:cNvPr>
            <xdr:cNvGraphicFramePr/>
          </xdr:nvGraphicFramePr>
          <xdr:xfrm>
            <a:off x="200024" y="1280188"/>
            <a:ext cx="9363075" cy="244884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5"/>
            </a:graphicData>
          </a:graphic>
        </xdr:graphicFrame>
        <xdr:graphicFrame macro="">
          <xdr:nvGraphicFramePr>
            <xdr:cNvPr id="23" name="Chart 22">
              <a:extLst>
                <a:ext uri="{FF2B5EF4-FFF2-40B4-BE49-F238E27FC236}">
                  <a16:creationId xmlns:a16="http://schemas.microsoft.com/office/drawing/2014/main" id="{00000000-0008-0000-0800-000017000000}"/>
                </a:ext>
              </a:extLst>
            </xdr:cNvPr>
            <xdr:cNvGraphicFramePr/>
          </xdr:nvGraphicFramePr>
          <xdr:xfrm>
            <a:off x="9526" y="3581400"/>
            <a:ext cx="9553574" cy="1776411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  <xdr:graphicFrame macro="">
          <xdr:nvGraphicFramePr>
            <xdr:cNvPr id="24" name="Chart 23">
              <a:extLst>
                <a:ext uri="{FF2B5EF4-FFF2-40B4-BE49-F238E27FC236}">
                  <a16:creationId xmlns:a16="http://schemas.microsoft.com/office/drawing/2014/main" id="{00000000-0008-0000-0800-000018000000}"/>
                </a:ext>
              </a:extLst>
            </xdr:cNvPr>
            <xdr:cNvGraphicFramePr>
              <a:graphicFrameLocks/>
            </xdr:cNvGraphicFramePr>
          </xdr:nvGraphicFramePr>
          <xdr:xfrm>
            <a:off x="0" y="5153025"/>
            <a:ext cx="9553576" cy="1776411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7"/>
            </a:graphicData>
          </a:graphic>
        </xdr:graphicFrame>
      </xdr:grpSp>
    </xdr:grpSp>
    <xdr:clientData/>
  </xdr:twoCellAnchor>
  <xdr:twoCellAnchor>
    <xdr:from>
      <xdr:col>0</xdr:col>
      <xdr:colOff>639295</xdr:colOff>
      <xdr:row>36</xdr:row>
      <xdr:rowOff>47625</xdr:rowOff>
    </xdr:from>
    <xdr:to>
      <xdr:col>11</xdr:col>
      <xdr:colOff>428625</xdr:colOff>
      <xdr:row>62</xdr:row>
      <xdr:rowOff>151840</xdr:rowOff>
    </xdr:to>
    <xdr:grpSp>
      <xdr:nvGrpSpPr>
        <xdr:cNvPr id="36" name="Group 35">
          <a:extLst>
            <a:ext uri="{FF2B5EF4-FFF2-40B4-BE49-F238E27FC236}">
              <a16:creationId xmlns:a16="http://schemas.microsoft.com/office/drawing/2014/main" id="{00000000-0008-0000-0800-000024000000}"/>
            </a:ext>
          </a:extLst>
        </xdr:cNvPr>
        <xdr:cNvGrpSpPr/>
      </xdr:nvGrpSpPr>
      <xdr:grpSpPr>
        <a:xfrm>
          <a:off x="639295" y="5925911"/>
          <a:ext cx="7286866" cy="4349643"/>
          <a:chOff x="885264" y="7328646"/>
          <a:chExt cx="9026651" cy="4840941"/>
        </a:xfrm>
      </xdr:grpSpPr>
      <xdr:sp macro="" textlink="">
        <xdr:nvSpPr>
          <xdr:cNvPr id="35" name="Rectangle: Rounded Corners 34">
            <a:extLst>
              <a:ext uri="{FF2B5EF4-FFF2-40B4-BE49-F238E27FC236}">
                <a16:creationId xmlns:a16="http://schemas.microsoft.com/office/drawing/2014/main" id="{00000000-0008-0000-0800-000023000000}"/>
              </a:ext>
            </a:extLst>
          </xdr:cNvPr>
          <xdr:cNvSpPr/>
        </xdr:nvSpPr>
        <xdr:spPr>
          <a:xfrm>
            <a:off x="885264" y="7328646"/>
            <a:ext cx="9026651" cy="4840941"/>
          </a:xfrm>
          <a:prstGeom prst="roundRect">
            <a:avLst>
              <a:gd name="adj" fmla="val 4338"/>
            </a:avLst>
          </a:pr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2">
              <a:shade val="50000"/>
            </a:schemeClr>
          </a:lnRef>
          <a:fillRef idx="1002">
            <a:schemeClr val="dk2"/>
          </a:fillRef>
          <a:effectRef idx="0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grpSp>
        <xdr:nvGrpSpPr>
          <xdr:cNvPr id="29" name="Group 28">
            <a:extLst>
              <a:ext uri="{FF2B5EF4-FFF2-40B4-BE49-F238E27FC236}">
                <a16:creationId xmlns:a16="http://schemas.microsoft.com/office/drawing/2014/main" id="{00000000-0008-0000-0800-00001D000000}"/>
              </a:ext>
            </a:extLst>
          </xdr:cNvPr>
          <xdr:cNvGrpSpPr/>
        </xdr:nvGrpSpPr>
        <xdr:grpSpPr>
          <a:xfrm>
            <a:off x="896471" y="7405972"/>
            <a:ext cx="8975911" cy="4517092"/>
            <a:chOff x="104776" y="12844461"/>
            <a:chExt cx="10448923" cy="5204842"/>
          </a:xfrm>
          <a:solidFill>
            <a:schemeClr val="tx1">
              <a:lumMod val="95000"/>
              <a:lumOff val="5000"/>
            </a:schemeClr>
          </a:solidFill>
        </xdr:grpSpPr>
        <xdr:graphicFrame macro="">
          <xdr:nvGraphicFramePr>
            <xdr:cNvPr id="27" name="Chart 26">
              <a:extLst>
                <a:ext uri="{FF2B5EF4-FFF2-40B4-BE49-F238E27FC236}">
                  <a16:creationId xmlns:a16="http://schemas.microsoft.com/office/drawing/2014/main" id="{00000000-0008-0000-0800-00001B000000}"/>
                </a:ext>
              </a:extLst>
            </xdr:cNvPr>
            <xdr:cNvGraphicFramePr/>
          </xdr:nvGraphicFramePr>
          <xdr:xfrm>
            <a:off x="104776" y="12844461"/>
            <a:ext cx="10448923" cy="3357563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8"/>
            </a:graphicData>
          </a:graphic>
        </xdr:graphicFrame>
        <xdr:graphicFrame macro="">
          <xdr:nvGraphicFramePr>
            <xdr:cNvPr id="28" name="Chart 27">
              <a:extLst>
                <a:ext uri="{FF2B5EF4-FFF2-40B4-BE49-F238E27FC236}">
                  <a16:creationId xmlns:a16="http://schemas.microsoft.com/office/drawing/2014/main" id="{00000000-0008-0000-0800-00001C000000}"/>
                </a:ext>
              </a:extLst>
            </xdr:cNvPr>
            <xdr:cNvGraphicFramePr/>
          </xdr:nvGraphicFramePr>
          <xdr:xfrm>
            <a:off x="365211" y="15973425"/>
            <a:ext cx="9923289" cy="2075878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9"/>
            </a:graphicData>
          </a:graphic>
        </xdr:graphicFrame>
      </xdr:grpSp>
    </xdr:grpSp>
    <xdr:clientData/>
  </xdr:twoCellAnchor>
  <xdr:twoCellAnchor>
    <xdr:from>
      <xdr:col>12</xdr:col>
      <xdr:colOff>203386</xdr:colOff>
      <xdr:row>35</xdr:row>
      <xdr:rowOff>66675</xdr:rowOff>
    </xdr:from>
    <xdr:to>
      <xdr:col>20</xdr:col>
      <xdr:colOff>583505</xdr:colOff>
      <xdr:row>66</xdr:row>
      <xdr:rowOff>11206</xdr:rowOff>
    </xdr:to>
    <xdr:grpSp>
      <xdr:nvGrpSpPr>
        <xdr:cNvPr id="39" name="Group 38">
          <a:extLst>
            <a:ext uri="{FF2B5EF4-FFF2-40B4-BE49-F238E27FC236}">
              <a16:creationId xmlns:a16="http://schemas.microsoft.com/office/drawing/2014/main" id="{00000000-0008-0000-0800-000027000000}"/>
            </a:ext>
          </a:extLst>
        </xdr:cNvPr>
        <xdr:cNvGrpSpPr/>
      </xdr:nvGrpSpPr>
      <xdr:grpSpPr>
        <a:xfrm>
          <a:off x="8340457" y="5781675"/>
          <a:ext cx="5060977" cy="5006388"/>
          <a:chOff x="10514478" y="7373470"/>
          <a:chExt cx="5285817" cy="4953001"/>
        </a:xfrm>
      </xdr:grpSpPr>
      <xdr:sp macro="" textlink="">
        <xdr:nvSpPr>
          <xdr:cNvPr id="38" name="Teardrop 37">
            <a:extLst>
              <a:ext uri="{FF2B5EF4-FFF2-40B4-BE49-F238E27FC236}">
                <a16:creationId xmlns:a16="http://schemas.microsoft.com/office/drawing/2014/main" id="{00000000-0008-0000-0800-000026000000}"/>
              </a:ext>
            </a:extLst>
          </xdr:cNvPr>
          <xdr:cNvSpPr/>
        </xdr:nvSpPr>
        <xdr:spPr>
          <a:xfrm>
            <a:off x="10735234" y="7373470"/>
            <a:ext cx="4953001" cy="4953001"/>
          </a:xfrm>
          <a:prstGeom prst="teardrop">
            <a:avLst>
              <a:gd name="adj" fmla="val 87736"/>
            </a:avLst>
          </a:prstGeom>
          <a:solidFill>
            <a:schemeClr val="accent1">
              <a:lumMod val="5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graphicFrame macro="">
        <xdr:nvGraphicFramePr>
          <xdr:cNvPr id="30" name="Chart 29">
            <a:extLst>
              <a:ext uri="{FF2B5EF4-FFF2-40B4-BE49-F238E27FC236}">
                <a16:creationId xmlns:a16="http://schemas.microsoft.com/office/drawing/2014/main" id="{00000000-0008-0000-0800-00001E000000}"/>
              </a:ext>
            </a:extLst>
          </xdr:cNvPr>
          <xdr:cNvGraphicFramePr/>
        </xdr:nvGraphicFramePr>
        <xdr:xfrm>
          <a:off x="10514478" y="7558935"/>
          <a:ext cx="5285817" cy="437533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0"/>
          </a:graphicData>
        </a:graphic>
      </xdr:graphicFrame>
    </xdr:grpSp>
    <xdr:clientData/>
  </xdr:twoCellAnchor>
  <xdr:twoCellAnchor>
    <xdr:from>
      <xdr:col>0</xdr:col>
      <xdr:colOff>371476</xdr:colOff>
      <xdr:row>1</xdr:row>
      <xdr:rowOff>19050</xdr:rowOff>
    </xdr:from>
    <xdr:to>
      <xdr:col>27</xdr:col>
      <xdr:colOff>95250</xdr:colOff>
      <xdr:row>4</xdr:row>
      <xdr:rowOff>107576</xdr:rowOff>
    </xdr:to>
    <xdr:sp macro="" textlink="">
      <xdr:nvSpPr>
        <xdr:cNvPr id="31" name="Rectangle: Rounded Corners 30">
          <a:extLst>
            <a:ext uri="{FF2B5EF4-FFF2-40B4-BE49-F238E27FC236}">
              <a16:creationId xmlns:a16="http://schemas.microsoft.com/office/drawing/2014/main" id="{00000000-0008-0000-0800-00001F000000}"/>
            </a:ext>
          </a:extLst>
        </xdr:cNvPr>
        <xdr:cNvSpPr/>
      </xdr:nvSpPr>
      <xdr:spPr>
        <a:xfrm>
          <a:off x="371476" y="180975"/>
          <a:ext cx="16754474" cy="574301"/>
        </a:xfrm>
        <a:prstGeom prst="roundRect">
          <a:avLst/>
        </a:prstGeom>
        <a:gradFill flip="none" rotWithShape="1">
          <a:gsLst>
            <a:gs pos="0">
              <a:schemeClr val="accent5">
                <a:lumMod val="50000"/>
                <a:shade val="30000"/>
                <a:satMod val="115000"/>
              </a:schemeClr>
            </a:gs>
            <a:gs pos="50000">
              <a:schemeClr val="accent5">
                <a:lumMod val="50000"/>
                <a:shade val="67500"/>
                <a:satMod val="115000"/>
              </a:schemeClr>
            </a:gs>
            <a:gs pos="100000">
              <a:schemeClr val="accent5">
                <a:lumMod val="50000"/>
                <a:shade val="100000"/>
                <a:satMod val="115000"/>
              </a:schemeClr>
            </a:gs>
          </a:gsLst>
          <a:lin ang="540000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2800" baseline="0">
              <a:latin typeface="Bahnschrift" panose="020B0502040204020203" pitchFamily="34" charset="0"/>
            </a:rPr>
            <a:t>ABC Inc                                                                                  Financial Performance Dashboard (NB)</a:t>
          </a:r>
          <a:endParaRPr lang="en-US" sz="2800">
            <a:latin typeface="Bahnschrift" panose="020B0502040204020203" pitchFamily="34" charset="0"/>
          </a:endParaRPr>
        </a:p>
      </xdr:txBody>
    </xdr:sp>
    <xdr:clientData/>
  </xdr:twoCellAnchor>
  <xdr:twoCellAnchor>
    <xdr:from>
      <xdr:col>23</xdr:col>
      <xdr:colOff>247651</xdr:colOff>
      <xdr:row>6</xdr:row>
      <xdr:rowOff>97195</xdr:rowOff>
    </xdr:from>
    <xdr:to>
      <xdr:col>27</xdr:col>
      <xdr:colOff>68036</xdr:colOff>
      <xdr:row>13</xdr:row>
      <xdr:rowOff>38099</xdr:rowOff>
    </xdr:to>
    <xdr:sp macro="" textlink="'Business Projection'!Z7">
      <xdr:nvSpPr>
        <xdr:cNvPr id="40" name="Rectangle: Top Corners Rounded 39">
          <a:extLst>
            <a:ext uri="{FF2B5EF4-FFF2-40B4-BE49-F238E27FC236}">
              <a16:creationId xmlns:a16="http://schemas.microsoft.com/office/drawing/2014/main" id="{00000000-0008-0000-0800-000028000000}"/>
            </a:ext>
          </a:extLst>
        </xdr:cNvPr>
        <xdr:cNvSpPr/>
      </xdr:nvSpPr>
      <xdr:spPr>
        <a:xfrm>
          <a:off x="14820901" y="1076909"/>
          <a:ext cx="2160814" cy="1083904"/>
        </a:xfrm>
        <a:prstGeom prst="round2SameRect">
          <a:avLst/>
        </a:prstGeom>
        <a:gradFill flip="none" rotWithShape="1">
          <a:gsLst>
            <a:gs pos="0">
              <a:schemeClr val="tx2">
                <a:lumMod val="50000"/>
                <a:tint val="66000"/>
                <a:satMod val="160000"/>
              </a:schemeClr>
            </a:gs>
            <a:gs pos="50000">
              <a:schemeClr val="tx2">
                <a:lumMod val="50000"/>
                <a:tint val="44500"/>
                <a:satMod val="160000"/>
              </a:schemeClr>
            </a:gs>
            <a:gs pos="100000">
              <a:schemeClr val="tx2">
                <a:lumMod val="50000"/>
                <a:tint val="23500"/>
                <a:satMod val="160000"/>
              </a:schemeClr>
            </a:gs>
          </a:gsLst>
          <a:lin ang="540000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54FE0906-6E53-464A-9246-A03354930A96}" type="TxLink">
            <a:rPr lang="en-US" sz="2400" b="0" i="0" u="none" strike="noStrike">
              <a:solidFill>
                <a:schemeClr val="tx1"/>
              </a:solidFill>
              <a:latin typeface="Bahnschrift" panose="020B0502040204020203" pitchFamily="34" charset="0"/>
            </a:rPr>
            <a:pPr algn="ctr"/>
            <a:t>Revenue ₹ 31,41,45,338</a:t>
          </a:fld>
          <a:endParaRPr lang="en-US" sz="3200">
            <a:solidFill>
              <a:schemeClr val="tx1"/>
            </a:solidFill>
            <a:latin typeface="Bahnschrift" panose="020B0502040204020203" pitchFamily="34" charset="0"/>
          </a:endParaRPr>
        </a:p>
      </xdr:txBody>
    </xdr:sp>
    <xdr:clientData/>
  </xdr:twoCellAnchor>
  <xdr:twoCellAnchor>
    <xdr:from>
      <xdr:col>23</xdr:col>
      <xdr:colOff>257736</xdr:colOff>
      <xdr:row>13</xdr:row>
      <xdr:rowOff>124828</xdr:rowOff>
    </xdr:from>
    <xdr:to>
      <xdr:col>27</xdr:col>
      <xdr:colOff>27214</xdr:colOff>
      <xdr:row>20</xdr:row>
      <xdr:rowOff>61835</xdr:rowOff>
    </xdr:to>
    <xdr:sp macro="" textlink="'Business Projection'!Z8">
      <xdr:nvSpPr>
        <xdr:cNvPr id="41" name="Rectangle: Top Corners One Rounded and One Snipped 40">
          <a:extLst>
            <a:ext uri="{FF2B5EF4-FFF2-40B4-BE49-F238E27FC236}">
              <a16:creationId xmlns:a16="http://schemas.microsoft.com/office/drawing/2014/main" id="{00000000-0008-0000-0800-000029000000}"/>
            </a:ext>
          </a:extLst>
        </xdr:cNvPr>
        <xdr:cNvSpPr/>
      </xdr:nvSpPr>
      <xdr:spPr>
        <a:xfrm>
          <a:off x="14830986" y="2247542"/>
          <a:ext cx="2109907" cy="1080007"/>
        </a:xfrm>
        <a:prstGeom prst="snipRoundRect">
          <a:avLst>
            <a:gd name="adj1" fmla="val 0"/>
            <a:gd name="adj2" fmla="val 29167"/>
          </a:avLst>
        </a:prstGeom>
        <a:gradFill flip="none" rotWithShape="1">
          <a:gsLst>
            <a:gs pos="0">
              <a:schemeClr val="accent5">
                <a:lumMod val="75000"/>
                <a:shade val="30000"/>
                <a:satMod val="115000"/>
              </a:schemeClr>
            </a:gs>
            <a:gs pos="50000">
              <a:schemeClr val="accent5">
                <a:lumMod val="75000"/>
                <a:shade val="67500"/>
                <a:satMod val="115000"/>
              </a:schemeClr>
            </a:gs>
            <a:gs pos="100000">
              <a:schemeClr val="accent5">
                <a:lumMod val="75000"/>
                <a:shade val="100000"/>
                <a:satMod val="115000"/>
              </a:schemeClr>
            </a:gs>
          </a:gsLst>
          <a:lin ang="540000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33A4F423-5B5A-429F-83EC-524CAAEAA2A8}" type="TxLink">
            <a:rPr lang="en-US" sz="1800" b="0" i="0" u="none" strike="noStrike">
              <a:solidFill>
                <a:schemeClr val="bg1"/>
              </a:solidFill>
              <a:latin typeface="Bahnschrift" panose="020B0502040204020203" pitchFamily="34" charset="0"/>
            </a:rPr>
            <a:pPr algn="ctr"/>
            <a:t>Gross Profit $3,71,49,983 </a:t>
          </a:fld>
          <a:endParaRPr lang="en-US" sz="1800">
            <a:solidFill>
              <a:schemeClr val="bg1"/>
            </a:solidFill>
            <a:latin typeface="Bahnschrift" panose="020B0502040204020203" pitchFamily="34" charset="0"/>
          </a:endParaRPr>
        </a:p>
      </xdr:txBody>
    </xdr:sp>
    <xdr:clientData/>
  </xdr:twoCellAnchor>
  <xdr:twoCellAnchor>
    <xdr:from>
      <xdr:col>23</xdr:col>
      <xdr:colOff>256616</xdr:colOff>
      <xdr:row>20</xdr:row>
      <xdr:rowOff>148564</xdr:rowOff>
    </xdr:from>
    <xdr:to>
      <xdr:col>27</xdr:col>
      <xdr:colOff>108857</xdr:colOff>
      <xdr:row>27</xdr:row>
      <xdr:rowOff>89468</xdr:rowOff>
    </xdr:to>
    <xdr:sp macro="" textlink="'Business Projection'!Z9">
      <xdr:nvSpPr>
        <xdr:cNvPr id="42" name="Rectangle: Diagonal Corners Rounded 41">
          <a:extLst>
            <a:ext uri="{FF2B5EF4-FFF2-40B4-BE49-F238E27FC236}">
              <a16:creationId xmlns:a16="http://schemas.microsoft.com/office/drawing/2014/main" id="{00000000-0008-0000-0800-00002A000000}"/>
            </a:ext>
          </a:extLst>
        </xdr:cNvPr>
        <xdr:cNvSpPr/>
      </xdr:nvSpPr>
      <xdr:spPr>
        <a:xfrm>
          <a:off x="14829866" y="3414278"/>
          <a:ext cx="2192670" cy="1083904"/>
        </a:xfrm>
        <a:prstGeom prst="round2DiagRect">
          <a:avLst/>
        </a:prstGeom>
        <a:gradFill flip="none" rotWithShape="1">
          <a:gsLst>
            <a:gs pos="0">
              <a:schemeClr val="accent6">
                <a:lumMod val="75000"/>
                <a:shade val="30000"/>
                <a:satMod val="115000"/>
              </a:schemeClr>
            </a:gs>
            <a:gs pos="50000">
              <a:schemeClr val="accent6">
                <a:lumMod val="75000"/>
                <a:shade val="67500"/>
                <a:satMod val="115000"/>
              </a:schemeClr>
            </a:gs>
            <a:gs pos="100000">
              <a:schemeClr val="accent6">
                <a:lumMod val="75000"/>
                <a:shade val="100000"/>
                <a:satMod val="115000"/>
              </a:schemeClr>
            </a:gs>
          </a:gsLst>
          <a:lin ang="540000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765A14B4-03DE-4C71-8816-9BD897D2024D}" type="TxLink">
            <a:rPr lang="en-US" sz="2000" b="0" i="0" u="none" strike="noStrike">
              <a:solidFill>
                <a:schemeClr val="bg1"/>
              </a:solidFill>
              <a:latin typeface="Bahnschrift" panose="020B0502040204020203" pitchFamily="34" charset="0"/>
            </a:rPr>
            <a:pPr algn="ctr"/>
            <a:t>Net Profit $3,71,16,682 </a:t>
          </a:fld>
          <a:endParaRPr lang="en-US" sz="2000">
            <a:solidFill>
              <a:schemeClr val="bg1"/>
            </a:solidFill>
            <a:latin typeface="Bahnschrift" panose="020B0502040204020203" pitchFamily="34" charset="0"/>
          </a:endParaRPr>
        </a:p>
      </xdr:txBody>
    </xdr:sp>
    <xdr:clientData/>
  </xdr:twoCellAnchor>
  <xdr:twoCellAnchor>
    <xdr:from>
      <xdr:col>23</xdr:col>
      <xdr:colOff>97847</xdr:colOff>
      <xdr:row>28</xdr:row>
      <xdr:rowOff>14271</xdr:rowOff>
    </xdr:from>
    <xdr:to>
      <xdr:col>27</xdr:col>
      <xdr:colOff>68034</xdr:colOff>
      <xdr:row>34</xdr:row>
      <xdr:rowOff>117100</xdr:rowOff>
    </xdr:to>
    <xdr:sp macro="" textlink="'Business Projection'!Z10">
      <xdr:nvSpPr>
        <xdr:cNvPr id="43" name="Arrow: Pentagon 42">
          <a:extLst>
            <a:ext uri="{FF2B5EF4-FFF2-40B4-BE49-F238E27FC236}">
              <a16:creationId xmlns:a16="http://schemas.microsoft.com/office/drawing/2014/main" id="{00000000-0008-0000-0800-00002B000000}"/>
            </a:ext>
          </a:extLst>
        </xdr:cNvPr>
        <xdr:cNvSpPr/>
      </xdr:nvSpPr>
      <xdr:spPr>
        <a:xfrm flipH="1">
          <a:off x="14671097" y="4586271"/>
          <a:ext cx="2310616" cy="1082543"/>
        </a:xfrm>
        <a:prstGeom prst="homePlate">
          <a:avLst/>
        </a:prstGeom>
        <a:gradFill flip="none" rotWithShape="1">
          <a:gsLst>
            <a:gs pos="0">
              <a:schemeClr val="accent3">
                <a:lumMod val="50000"/>
                <a:shade val="30000"/>
                <a:satMod val="115000"/>
              </a:schemeClr>
            </a:gs>
            <a:gs pos="50000">
              <a:schemeClr val="accent3">
                <a:lumMod val="50000"/>
                <a:shade val="67500"/>
                <a:satMod val="115000"/>
              </a:schemeClr>
            </a:gs>
            <a:gs pos="100000">
              <a:schemeClr val="accent3">
                <a:lumMod val="50000"/>
                <a:shade val="100000"/>
                <a:satMod val="115000"/>
              </a:schemeClr>
            </a:gs>
          </a:gsLst>
          <a:lin ang="540000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2821D2B4-F59C-48DF-A82A-6EBC41C082B6}" type="TxLink">
            <a:rPr lang="en-US" sz="2000" b="0" i="0" u="none" strike="noStrike">
              <a:solidFill>
                <a:schemeClr val="bg1"/>
              </a:solidFill>
              <a:latin typeface="Bahnschrift" panose="020B0502040204020203" pitchFamily="34" charset="0"/>
            </a:rPr>
            <a:pPr algn="ctr"/>
            <a:t>OCF $4,39,25,268 </a:t>
          </a:fld>
          <a:endParaRPr lang="en-US" sz="2000">
            <a:solidFill>
              <a:schemeClr val="bg1"/>
            </a:solidFill>
            <a:latin typeface="Bahnschrift" panose="020B0502040204020203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0.37708</cdr:x>
      <cdr:y>0.40893</cdr:y>
    </cdr:from>
    <cdr:to>
      <cdr:x>0.66458</cdr:x>
      <cdr:y>0.60193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D7B8F21-7D22-4729-9E17-223A7C8E5FDC}"/>
            </a:ext>
          </a:extLst>
        </cdr:cNvPr>
        <cdr:cNvSpPr txBox="1"/>
      </cdr:nvSpPr>
      <cdr:spPr>
        <a:xfrm xmlns:a="http://schemas.openxmlformats.org/drawingml/2006/main">
          <a:off x="1724025" y="1614489"/>
          <a:ext cx="1314450" cy="762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1600" b="1">
              <a:solidFill>
                <a:schemeClr val="bg1"/>
              </a:solidFill>
              <a:latin typeface="Lato" panose="020F0502020204030203" pitchFamily="34" charset="0"/>
            </a:rPr>
            <a:t>Product</a:t>
          </a:r>
          <a:r>
            <a:rPr lang="en-US" sz="1600" b="1" baseline="0">
              <a:solidFill>
                <a:schemeClr val="bg1"/>
              </a:solidFill>
              <a:latin typeface="Lato" panose="020F0502020204030203" pitchFamily="34" charset="0"/>
            </a:rPr>
            <a:t> Sale Share</a:t>
          </a:r>
          <a:endParaRPr lang="en-US" sz="1600" b="1">
            <a:solidFill>
              <a:schemeClr val="bg1"/>
            </a:solidFill>
            <a:latin typeface="Lato" panose="020F0502020204030203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102</xdr:row>
          <xdr:rowOff>85725</xdr:rowOff>
        </xdr:from>
        <xdr:to>
          <xdr:col>3</xdr:col>
          <xdr:colOff>257175</xdr:colOff>
          <xdr:row>103</xdr:row>
          <xdr:rowOff>57150</xdr:rowOff>
        </xdr:to>
        <xdr:sp macro="" textlink="">
          <xdr:nvSpPr>
            <xdr:cNvPr id="1056" name="Drop Down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9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485775</xdr:colOff>
      <xdr:row>0</xdr:row>
      <xdr:rowOff>95251</xdr:rowOff>
    </xdr:from>
    <xdr:to>
      <xdr:col>13</xdr:col>
      <xdr:colOff>666750</xdr:colOff>
      <xdr:row>3</xdr:row>
      <xdr:rowOff>57150</xdr:rowOff>
    </xdr:to>
    <xdr:sp macro="" textlink="$Z$1">
      <xdr:nvSpPr>
        <xdr:cNvPr id="23" name="Rectangle 22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SpPr/>
      </xdr:nvSpPr>
      <xdr:spPr>
        <a:xfrm>
          <a:off x="9582150" y="95251"/>
          <a:ext cx="1000125" cy="447674"/>
        </a:xfrm>
        <a:prstGeom prst="rect">
          <a:avLst/>
        </a:prstGeom>
        <a:solidFill>
          <a:schemeClr val="bg2">
            <a:lumMod val="10000"/>
          </a:schemeClr>
        </a:solidFill>
        <a:ln>
          <a:noFill/>
        </a:ln>
      </xdr:spPr>
      <xdr:style>
        <a:lnRef idx="3">
          <a:schemeClr val="lt1"/>
        </a:lnRef>
        <a:fillRef idx="1">
          <a:schemeClr val="accent3"/>
        </a:fillRef>
        <a:effectRef idx="1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fld id="{AF03A13E-E9EC-4623-A378-5F43F2BE54E7}" type="TxLink">
            <a:rPr lang="en-US" sz="1000" b="1" i="0" u="none" strike="noStrike">
              <a:solidFill>
                <a:schemeClr val="bg1"/>
              </a:solidFill>
              <a:latin typeface="Arial Nova"/>
            </a:rPr>
            <a:pPr algn="ctr"/>
            <a:t>Revenue ₹ 31,41,45,338</a:t>
          </a:fld>
          <a:endParaRPr lang="en-US" sz="1100" b="1">
            <a:solidFill>
              <a:schemeClr val="bg1"/>
            </a:solidFill>
            <a:latin typeface="Lato" panose="020F0502020204030203" pitchFamily="34" charset="0"/>
          </a:endParaRPr>
        </a:p>
      </xdr:txBody>
    </xdr:sp>
    <xdr:clientData/>
  </xdr:twoCellAnchor>
  <xdr:twoCellAnchor>
    <xdr:from>
      <xdr:col>14</xdr:col>
      <xdr:colOff>419100</xdr:colOff>
      <xdr:row>0</xdr:row>
      <xdr:rowOff>95250</xdr:rowOff>
    </xdr:from>
    <xdr:to>
      <xdr:col>16</xdr:col>
      <xdr:colOff>171450</xdr:colOff>
      <xdr:row>3</xdr:row>
      <xdr:rowOff>19049</xdr:rowOff>
    </xdr:to>
    <xdr:sp macro="" textlink="$Z$2">
      <xdr:nvSpPr>
        <xdr:cNvPr id="24" name="Rectangle: Single Corner Rounded 23">
          <a:extLst>
            <a:ext uri="{FF2B5EF4-FFF2-40B4-BE49-F238E27FC236}">
              <a16:creationId xmlns:a16="http://schemas.microsoft.com/office/drawing/2014/main" id="{00000000-0008-0000-0900-000018000000}"/>
            </a:ext>
          </a:extLst>
        </xdr:cNvPr>
        <xdr:cNvSpPr/>
      </xdr:nvSpPr>
      <xdr:spPr>
        <a:xfrm>
          <a:off x="8420100" y="95250"/>
          <a:ext cx="1038225" cy="409574"/>
        </a:xfrm>
        <a:prstGeom prst="round1Rect">
          <a:avLst>
            <a:gd name="adj" fmla="val 50000"/>
          </a:avLst>
        </a:prstGeom>
        <a:solidFill>
          <a:schemeClr val="accent1">
            <a:lumMod val="50000"/>
          </a:schemeClr>
        </a:solidFill>
        <a:ln>
          <a:noFill/>
        </a:ln>
      </xdr:spPr>
      <xdr:style>
        <a:lnRef idx="3">
          <a:schemeClr val="lt1"/>
        </a:lnRef>
        <a:fillRef idx="1">
          <a:schemeClr val="accent3"/>
        </a:fillRef>
        <a:effectRef idx="1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fld id="{1CF319B0-76DD-4953-BCFD-9DC18CAB30D9}" type="TxLink">
            <a:rPr lang="en-US" sz="1000" b="1" i="0" u="none" strike="noStrike">
              <a:solidFill>
                <a:schemeClr val="bg1"/>
              </a:solidFill>
              <a:latin typeface="Arial Nova"/>
            </a:rPr>
            <a:pPr algn="ctr"/>
            <a:t>Gross Profit ₹ 3,71,49,983</a:t>
          </a:fld>
          <a:endParaRPr lang="en-US" sz="1100" b="1">
            <a:solidFill>
              <a:schemeClr val="bg1"/>
            </a:solidFill>
            <a:latin typeface="Lato" panose="020F0502020204030203" pitchFamily="34" charset="0"/>
          </a:endParaRPr>
        </a:p>
      </xdr:txBody>
    </xdr:sp>
    <xdr:clientData/>
  </xdr:twoCellAnchor>
  <xdr:twoCellAnchor>
    <xdr:from>
      <xdr:col>16</xdr:col>
      <xdr:colOff>295275</xdr:colOff>
      <xdr:row>0</xdr:row>
      <xdr:rowOff>104774</xdr:rowOff>
    </xdr:from>
    <xdr:to>
      <xdr:col>18</xdr:col>
      <xdr:colOff>19050</xdr:colOff>
      <xdr:row>3</xdr:row>
      <xdr:rowOff>66674</xdr:rowOff>
    </xdr:to>
    <xdr:sp macro="" textlink="$Z$3">
      <xdr:nvSpPr>
        <xdr:cNvPr id="25" name="Rectangle: Rounded Corners 24">
          <a:extLst>
            <a:ext uri="{FF2B5EF4-FFF2-40B4-BE49-F238E27FC236}">
              <a16:creationId xmlns:a16="http://schemas.microsoft.com/office/drawing/2014/main" id="{00000000-0008-0000-0900-000019000000}"/>
            </a:ext>
          </a:extLst>
        </xdr:cNvPr>
        <xdr:cNvSpPr/>
      </xdr:nvSpPr>
      <xdr:spPr>
        <a:xfrm>
          <a:off x="9582150" y="104774"/>
          <a:ext cx="1038225" cy="447675"/>
        </a:xfrm>
        <a:prstGeom prst="round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3">
          <a:schemeClr val="lt1"/>
        </a:lnRef>
        <a:fillRef idx="1">
          <a:schemeClr val="accent3"/>
        </a:fillRef>
        <a:effectRef idx="1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fld id="{CCDAF95A-3238-4143-A1A7-58AA2D3226BB}" type="TxLink">
            <a:rPr lang="en-US" sz="1000" b="1" i="0" u="none" strike="noStrike">
              <a:solidFill>
                <a:schemeClr val="bg1"/>
              </a:solidFill>
              <a:latin typeface="Arial Nova"/>
            </a:rPr>
            <a:pPr algn="ctr"/>
            <a:t>Net Profit ₹ 3,71,16,682</a:t>
          </a:fld>
          <a:endParaRPr lang="en-US" sz="1100" b="1">
            <a:solidFill>
              <a:schemeClr val="bg1"/>
            </a:solidFill>
            <a:latin typeface="Lato" panose="020F0502020204030203" pitchFamily="34" charset="0"/>
          </a:endParaRPr>
        </a:p>
      </xdr:txBody>
    </xdr:sp>
    <xdr:clientData/>
  </xdr:twoCellAnchor>
  <xdr:twoCellAnchor>
    <xdr:from>
      <xdr:col>18</xdr:col>
      <xdr:colOff>209549</xdr:colOff>
      <xdr:row>0</xdr:row>
      <xdr:rowOff>114299</xdr:rowOff>
    </xdr:from>
    <xdr:to>
      <xdr:col>19</xdr:col>
      <xdr:colOff>504824</xdr:colOff>
      <xdr:row>3</xdr:row>
      <xdr:rowOff>76199</xdr:rowOff>
    </xdr:to>
    <xdr:sp macro="" textlink="$Z$4">
      <xdr:nvSpPr>
        <xdr:cNvPr id="26" name="Arrow: Pentagon 25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SpPr/>
      </xdr:nvSpPr>
      <xdr:spPr>
        <a:xfrm flipH="1">
          <a:off x="14363699" y="114299"/>
          <a:ext cx="1266825" cy="447675"/>
        </a:xfrm>
        <a:prstGeom prst="homePlate">
          <a:avLst/>
        </a:prstGeom>
        <a:solidFill>
          <a:schemeClr val="bg2">
            <a:lumMod val="10000"/>
          </a:schemeClr>
        </a:solidFill>
        <a:ln>
          <a:noFill/>
        </a:ln>
      </xdr:spPr>
      <xdr:style>
        <a:lnRef idx="3">
          <a:schemeClr val="lt1"/>
        </a:lnRef>
        <a:fillRef idx="1">
          <a:schemeClr val="accent3"/>
        </a:fillRef>
        <a:effectRef idx="1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fld id="{2C0864D4-D0E3-40F0-ABED-53880F3574CA}" type="TxLink">
            <a:rPr lang="en-US" sz="1000" b="1" i="0" u="none" strike="noStrike">
              <a:solidFill>
                <a:schemeClr val="bg1"/>
              </a:solidFill>
              <a:latin typeface="Arial Nova"/>
            </a:rPr>
            <a:pPr algn="ctr"/>
            <a:t>OCF ₹ 4,39,25,268</a:t>
          </a:fld>
          <a:endParaRPr lang="en-US" sz="1100" b="1">
            <a:solidFill>
              <a:schemeClr val="bg1"/>
            </a:solidFill>
            <a:latin typeface="Lato" panose="020F0502020204030203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857250</xdr:colOff>
          <xdr:row>103</xdr:row>
          <xdr:rowOff>19050</xdr:rowOff>
        </xdr:from>
        <xdr:to>
          <xdr:col>3</xdr:col>
          <xdr:colOff>257175</xdr:colOff>
          <xdr:row>103</xdr:row>
          <xdr:rowOff>200025</xdr:rowOff>
        </xdr:to>
        <xdr:sp macro="" textlink="">
          <xdr:nvSpPr>
            <xdr:cNvPr id="12289" name="Drop Down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A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485775</xdr:colOff>
      <xdr:row>0</xdr:row>
      <xdr:rowOff>95251</xdr:rowOff>
    </xdr:from>
    <xdr:to>
      <xdr:col>13</xdr:col>
      <xdr:colOff>666750</xdr:colOff>
      <xdr:row>3</xdr:row>
      <xdr:rowOff>57150</xdr:rowOff>
    </xdr:to>
    <xdr:sp macro="" textlink="$Z$1">
      <xdr:nvSpPr>
        <xdr:cNvPr id="3" name="Rectangl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7677150" y="95251"/>
          <a:ext cx="1000125" cy="447674"/>
        </a:xfrm>
        <a:prstGeom prst="rect">
          <a:avLst/>
        </a:prstGeom>
        <a:solidFill>
          <a:schemeClr val="bg2">
            <a:lumMod val="10000"/>
          </a:schemeClr>
        </a:solidFill>
        <a:ln>
          <a:noFill/>
        </a:ln>
      </xdr:spPr>
      <xdr:style>
        <a:lnRef idx="3">
          <a:schemeClr val="lt1"/>
        </a:lnRef>
        <a:fillRef idx="1">
          <a:schemeClr val="accent3"/>
        </a:fillRef>
        <a:effectRef idx="1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fld id="{AF03A13E-E9EC-4623-A378-5F43F2BE54E7}" type="TxLink">
            <a:rPr lang="en-US" sz="1000" b="1" i="0" u="none" strike="noStrike">
              <a:solidFill>
                <a:schemeClr val="bg1"/>
              </a:solidFill>
              <a:latin typeface="Arial Nova"/>
            </a:rPr>
            <a:pPr algn="ctr"/>
            <a:t>Revenue ₹ 30,99,95,338</a:t>
          </a:fld>
          <a:endParaRPr lang="en-US" sz="1100" b="1">
            <a:solidFill>
              <a:schemeClr val="bg1"/>
            </a:solidFill>
            <a:latin typeface="Lato" panose="020F0502020204030203" pitchFamily="34" charset="0"/>
          </a:endParaRPr>
        </a:p>
      </xdr:txBody>
    </xdr:sp>
    <xdr:clientData/>
  </xdr:twoCellAnchor>
  <xdr:twoCellAnchor>
    <xdr:from>
      <xdr:col>14</xdr:col>
      <xdr:colOff>419100</xdr:colOff>
      <xdr:row>0</xdr:row>
      <xdr:rowOff>95250</xdr:rowOff>
    </xdr:from>
    <xdr:to>
      <xdr:col>16</xdr:col>
      <xdr:colOff>171450</xdr:colOff>
      <xdr:row>3</xdr:row>
      <xdr:rowOff>19049</xdr:rowOff>
    </xdr:to>
    <xdr:sp macro="" textlink="$Z$2">
      <xdr:nvSpPr>
        <xdr:cNvPr id="4" name="Rectangle: Single Corner Rounded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9239250" y="95250"/>
          <a:ext cx="1466850" cy="409574"/>
        </a:xfrm>
        <a:prstGeom prst="round1Rect">
          <a:avLst>
            <a:gd name="adj" fmla="val 50000"/>
          </a:avLst>
        </a:prstGeom>
        <a:solidFill>
          <a:schemeClr val="accent1">
            <a:lumMod val="50000"/>
          </a:schemeClr>
        </a:solidFill>
        <a:ln>
          <a:noFill/>
        </a:ln>
      </xdr:spPr>
      <xdr:style>
        <a:lnRef idx="3">
          <a:schemeClr val="lt1"/>
        </a:lnRef>
        <a:fillRef idx="1">
          <a:schemeClr val="accent3"/>
        </a:fillRef>
        <a:effectRef idx="1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fld id="{1CF319B0-76DD-4953-BCFD-9DC18CAB30D9}" type="TxLink">
            <a:rPr lang="en-US" sz="1000" b="1" i="0" u="none" strike="noStrike">
              <a:solidFill>
                <a:schemeClr val="bg1"/>
              </a:solidFill>
              <a:latin typeface="Arial Nova"/>
            </a:rPr>
            <a:pPr algn="ctr"/>
            <a:t>Gross Profit ₹ 3,78,00,983</a:t>
          </a:fld>
          <a:endParaRPr lang="en-US" sz="1100" b="1">
            <a:solidFill>
              <a:schemeClr val="bg1"/>
            </a:solidFill>
            <a:latin typeface="Lato" panose="020F0502020204030203" pitchFamily="34" charset="0"/>
          </a:endParaRPr>
        </a:p>
      </xdr:txBody>
    </xdr:sp>
    <xdr:clientData/>
  </xdr:twoCellAnchor>
  <xdr:twoCellAnchor>
    <xdr:from>
      <xdr:col>16</xdr:col>
      <xdr:colOff>295275</xdr:colOff>
      <xdr:row>0</xdr:row>
      <xdr:rowOff>104774</xdr:rowOff>
    </xdr:from>
    <xdr:to>
      <xdr:col>18</xdr:col>
      <xdr:colOff>19050</xdr:colOff>
      <xdr:row>3</xdr:row>
      <xdr:rowOff>66674</xdr:rowOff>
    </xdr:to>
    <xdr:sp macro="" textlink="$Z$3">
      <xdr:nvSpPr>
        <xdr:cNvPr id="5" name="Rectangle: Rounded Corners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/>
      </xdr:nvSpPr>
      <xdr:spPr>
        <a:xfrm>
          <a:off x="10829925" y="104774"/>
          <a:ext cx="1438275" cy="447675"/>
        </a:xfrm>
        <a:prstGeom prst="round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3">
          <a:schemeClr val="lt1"/>
        </a:lnRef>
        <a:fillRef idx="1">
          <a:schemeClr val="accent3"/>
        </a:fillRef>
        <a:effectRef idx="1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fld id="{CCDAF95A-3238-4143-A1A7-58AA2D3226BB}" type="TxLink">
            <a:rPr lang="en-US" sz="1000" b="1" i="0" u="none" strike="noStrike">
              <a:solidFill>
                <a:schemeClr val="bg1"/>
              </a:solidFill>
              <a:latin typeface="Arial Nova"/>
            </a:rPr>
            <a:pPr algn="ctr"/>
            <a:t>Net Profit ₹ 3,77,67,599</a:t>
          </a:fld>
          <a:endParaRPr lang="en-US" sz="1100" b="1">
            <a:solidFill>
              <a:schemeClr val="bg1"/>
            </a:solidFill>
            <a:latin typeface="Lato" panose="020F0502020204030203" pitchFamily="34" charset="0"/>
          </a:endParaRPr>
        </a:p>
      </xdr:txBody>
    </xdr:sp>
    <xdr:clientData/>
  </xdr:twoCellAnchor>
  <xdr:twoCellAnchor>
    <xdr:from>
      <xdr:col>18</xdr:col>
      <xdr:colOff>209549</xdr:colOff>
      <xdr:row>0</xdr:row>
      <xdr:rowOff>114299</xdr:rowOff>
    </xdr:from>
    <xdr:to>
      <xdr:col>19</xdr:col>
      <xdr:colOff>504824</xdr:colOff>
      <xdr:row>3</xdr:row>
      <xdr:rowOff>76199</xdr:rowOff>
    </xdr:to>
    <xdr:sp macro="" textlink="$Z$4">
      <xdr:nvSpPr>
        <xdr:cNvPr id="6" name="Arrow: Pentagon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/>
      </xdr:nvSpPr>
      <xdr:spPr>
        <a:xfrm flipH="1">
          <a:off x="12458699" y="114299"/>
          <a:ext cx="1266825" cy="447675"/>
        </a:xfrm>
        <a:prstGeom prst="homePlate">
          <a:avLst/>
        </a:prstGeom>
        <a:solidFill>
          <a:schemeClr val="bg2">
            <a:lumMod val="10000"/>
          </a:schemeClr>
        </a:solidFill>
        <a:ln>
          <a:noFill/>
        </a:ln>
      </xdr:spPr>
      <xdr:style>
        <a:lnRef idx="3">
          <a:schemeClr val="lt1"/>
        </a:lnRef>
        <a:fillRef idx="1">
          <a:schemeClr val="accent3"/>
        </a:fillRef>
        <a:effectRef idx="1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fld id="{2C0864D4-D0E3-40F0-ABED-53880F3574CA}" type="TxLink">
            <a:rPr lang="en-US" sz="1000" b="1" i="0" u="none" strike="noStrike">
              <a:solidFill>
                <a:schemeClr val="bg1"/>
              </a:solidFill>
              <a:latin typeface="Arial Nova"/>
            </a:rPr>
            <a:pPr algn="ctr"/>
            <a:t>OCF ₹ 4,50,56,268</a:t>
          </a:fld>
          <a:endParaRPr lang="en-US" sz="1100" b="1">
            <a:solidFill>
              <a:schemeClr val="bg1"/>
            </a:solidFill>
            <a:latin typeface="Lato" panose="020F0502020204030203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7</xdr:row>
      <xdr:rowOff>28575</xdr:rowOff>
    </xdr:from>
    <xdr:to>
      <xdr:col>8</xdr:col>
      <xdr:colOff>142875</xdr:colOff>
      <xdr:row>24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7</xdr:row>
      <xdr:rowOff>0</xdr:rowOff>
    </xdr:from>
    <xdr:to>
      <xdr:col>17</xdr:col>
      <xdr:colOff>171450</xdr:colOff>
      <xdr:row>23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419100</xdr:colOff>
      <xdr:row>28</xdr:row>
      <xdr:rowOff>28575</xdr:rowOff>
    </xdr:from>
    <xdr:to>
      <xdr:col>8</xdr:col>
      <xdr:colOff>114300</xdr:colOff>
      <xdr:row>45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9827E34-6209-473F-8214-39D4F7AD3867}" name="RangesValid" displayName="RangesValid" ref="A1:I40" totalsRowShown="0" headerRowDxfId="4">
  <tableColumns count="9">
    <tableColumn id="1" xr3:uid="{2B9570CE-3714-495B-BAC8-131C2180A85F}" name="SalesGrowth" dataDxfId="3"/>
    <tableColumn id="2" xr3:uid="{F3BA88ED-808A-47B6-9CBE-34E39138C972}" name="GPGrowth" dataDxfId="2"/>
    <tableColumn id="3" xr3:uid="{1BB214CF-0257-4FA1-AB55-8FE78206B61F}" name="CashSalesRatio"/>
    <tableColumn id="4" xr3:uid="{A2F02759-57C2-411F-9B62-B6A1DD5A39E5}" name="CashPurchaseRatio"/>
    <tableColumn id="5" xr3:uid="{A5066516-1E11-4A16-BFDB-723F2C331201}" name="Interest"/>
    <tableColumn id="6" xr3:uid="{45BC4AC7-C0A5-4E5C-B8D7-E921105EC0F5}" name="Frequency"/>
    <tableColumn id="7" xr3:uid="{07EA4B0F-F2D6-4E1A-8958-0798E323CC10}" name="PaymentTerms"/>
    <tableColumn id="8" xr3:uid="{67652989-39E9-4EE8-B611-7B0464A3CA3F}" name="GrowthType" dataDxfId="1" dataCellStyle="Percent"/>
    <tableColumn id="9" xr3:uid="{DA132683-4E4A-4EA2-8EBE-924AD11454B1}" name="GrowthType2" dataDxfId="0" dataCellStyle="Percent"/>
  </tableColumns>
  <tableStyleInfo name="TableStyleMedium9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0B903CE-4848-4A84-9329-53E572C0EB0E}" name="CreditDaysT" displayName="CreditDaysT" ref="K1:L8" totalsRowShown="0">
  <tableColumns count="2">
    <tableColumn id="1" xr3:uid="{CD9EAEC1-F0AF-47DF-B46E-DE8686A0A907}" name="Credit Day"/>
    <tableColumn id="2" xr3:uid="{1B7121D0-CC8F-4233-BD66-5D7D9B06E4C4}" name="Factor"/>
  </tableColumns>
  <tableStyleInfo name="TableStyleMedium11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8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Relationship Id="rId4" Type="http://schemas.openxmlformats.org/officeDocument/2006/relationships/ctrlProp" Target="../ctrlProps/ctrlProp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customProperty" Target="../customProperty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73A28-EF9A-429C-BE0A-E4426824E3A6}">
  <dimension ref="A2:B17"/>
  <sheetViews>
    <sheetView workbookViewId="0">
      <selection activeCell="B14" sqref="B14:B17"/>
    </sheetView>
  </sheetViews>
  <sheetFormatPr defaultRowHeight="12.75"/>
  <cols>
    <col min="2" max="2" width="56.5703125" customWidth="1"/>
  </cols>
  <sheetData>
    <row r="2" spans="1:2" ht="13.5" thickBot="1"/>
    <row r="3" spans="1:2" ht="13.5" thickBot="1">
      <c r="A3" s="989" t="s">
        <v>345</v>
      </c>
      <c r="B3" s="990"/>
    </row>
    <row r="4" spans="1:2">
      <c r="A4" s="492" t="s">
        <v>346</v>
      </c>
      <c r="B4" s="493" t="s">
        <v>24</v>
      </c>
    </row>
    <row r="5" spans="1:2">
      <c r="A5" s="488" t="s">
        <v>347</v>
      </c>
      <c r="B5" s="489" t="s">
        <v>348</v>
      </c>
    </row>
    <row r="6" spans="1:2">
      <c r="A6" s="488" t="s">
        <v>349</v>
      </c>
      <c r="B6" s="489" t="s">
        <v>350</v>
      </c>
    </row>
    <row r="7" spans="1:2">
      <c r="A7" s="488" t="s">
        <v>108</v>
      </c>
      <c r="B7" s="489" t="s">
        <v>59</v>
      </c>
    </row>
    <row r="8" spans="1:2" ht="13.5" thickBot="1">
      <c r="A8" s="490" t="s">
        <v>115</v>
      </c>
      <c r="B8" s="491" t="s">
        <v>351</v>
      </c>
    </row>
    <row r="12" spans="1:2" ht="13.5" thickBot="1"/>
    <row r="13" spans="1:2" ht="13.5" thickBot="1">
      <c r="A13" s="991" t="s">
        <v>352</v>
      </c>
      <c r="B13" s="992"/>
    </row>
    <row r="14" spans="1:2" ht="25.5">
      <c r="A14" s="498">
        <v>1</v>
      </c>
      <c r="B14" s="499" t="s">
        <v>353</v>
      </c>
    </row>
    <row r="15" spans="1:2" ht="33" customHeight="1">
      <c r="A15" s="494">
        <v>2</v>
      </c>
      <c r="B15" s="495" t="s">
        <v>463</v>
      </c>
    </row>
    <row r="16" spans="1:2" ht="33" customHeight="1">
      <c r="A16" s="703">
        <v>3</v>
      </c>
      <c r="B16" s="704" t="s">
        <v>468</v>
      </c>
    </row>
    <row r="17" spans="1:2" ht="26.25" thickBot="1">
      <c r="A17" s="496">
        <v>4</v>
      </c>
      <c r="B17" s="497" t="s">
        <v>464</v>
      </c>
    </row>
  </sheetData>
  <mergeCells count="2">
    <mergeCell ref="A3:B3"/>
    <mergeCell ref="A13:B1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E79C6-A67C-4611-B8C6-F8042C8198FB}">
  <sheetPr codeName="Sheet1">
    <tabColor theme="4" tint="-0.499984740745262"/>
  </sheetPr>
  <dimension ref="A1:Z225"/>
  <sheetViews>
    <sheetView showGridLines="0" tabSelected="1" zoomScaleNormal="100" workbookViewId="0">
      <pane xSplit="9" ySplit="5" topLeftCell="J121" activePane="bottomRight" state="frozen"/>
      <selection pane="topRight" activeCell="M1" sqref="M1"/>
      <selection pane="bottomLeft" activeCell="A6" sqref="A6"/>
      <selection pane="bottomRight" activeCell="J129" sqref="J129"/>
    </sheetView>
  </sheetViews>
  <sheetFormatPr defaultColWidth="8.85546875" defaultRowHeight="12.75" outlineLevelRow="1"/>
  <cols>
    <col min="1" max="1" width="11.28515625" customWidth="1"/>
    <col min="2" max="2" width="7.85546875" customWidth="1"/>
    <col min="3" max="4" width="7" customWidth="1"/>
    <col min="5" max="5" width="6.42578125" bestFit="1" customWidth="1"/>
    <col min="6" max="6" width="2.85546875" bestFit="1" customWidth="1"/>
    <col min="7" max="7" width="2.5703125" customWidth="1"/>
    <col min="8" max="8" width="12" customWidth="1"/>
    <col min="9" max="9" width="12.7109375" customWidth="1"/>
    <col min="10" max="10" width="13.85546875" customWidth="1"/>
    <col min="11" max="11" width="11.85546875" bestFit="1" customWidth="1"/>
    <col min="12" max="12" width="12.42578125" bestFit="1" customWidth="1"/>
    <col min="13" max="13" width="12.28515625" customWidth="1"/>
    <col min="14" max="14" width="12.140625" customWidth="1"/>
    <col min="15" max="18" width="12.85546875" bestFit="1" customWidth="1"/>
    <col min="19" max="21" width="14.5703125" bestFit="1" customWidth="1"/>
    <col min="22" max="22" width="15.5703125" bestFit="1" customWidth="1"/>
    <col min="23" max="23" width="12.140625" customWidth="1"/>
    <col min="24" max="24" width="1.28515625" customWidth="1"/>
    <col min="25" max="25" width="14" style="85" bestFit="1" customWidth="1"/>
    <col min="26" max="16384" width="8.85546875" style="85"/>
  </cols>
  <sheetData>
    <row r="1" spans="1:26">
      <c r="A1" s="2" t="s">
        <v>123</v>
      </c>
      <c r="G1" s="11"/>
      <c r="X1" s="70"/>
      <c r="Z1" s="234" t="str">
        <f>"Revenue"&amp;" "&amp;TEXT($V$13,"₹ #,##0;[Red]₹ -#,##0")</f>
        <v>Revenue ₹ 31,41,45,338</v>
      </c>
    </row>
    <row r="2" spans="1:26">
      <c r="A2" s="1" t="s">
        <v>23</v>
      </c>
      <c r="I2" s="57"/>
      <c r="J2" s="205"/>
      <c r="K2" s="46"/>
      <c r="X2" s="70"/>
      <c r="Z2" s="234" t="str">
        <f>"Gross Profit"&amp;" "&amp;TEXT($V$60,"₹ #,##0;[Red]₹ -#,##0")</f>
        <v>Gross Profit ₹ 3,71,49,983</v>
      </c>
    </row>
    <row r="3" spans="1:26">
      <c r="A3" s="1" t="s">
        <v>21</v>
      </c>
      <c r="D3" s="11"/>
      <c r="E3" s="11"/>
      <c r="X3" s="70"/>
      <c r="Z3" s="234" t="str">
        <f ca="1">"Net Profit"&amp;" "&amp;TEXT($V$90,"₹ #,##0;[Red]₹ -#,##0")</f>
        <v>Net Profit ₹ 3,71,16,682</v>
      </c>
    </row>
    <row r="4" spans="1:26">
      <c r="I4" s="40"/>
      <c r="X4" s="70"/>
      <c r="Z4" s="234" t="str">
        <f ca="1">"OCF"&amp;" "&amp;TEXT($V$165,"₹ #,##0;[Red]₹ -#,##0")</f>
        <v>OCF ₹ 4,39,25,268</v>
      </c>
    </row>
    <row r="5" spans="1:26">
      <c r="A5" s="3" t="s">
        <v>22</v>
      </c>
      <c r="B5" s="4"/>
      <c r="C5" s="4"/>
      <c r="D5" s="4"/>
      <c r="E5" s="4"/>
      <c r="F5" s="4"/>
      <c r="G5" s="4"/>
      <c r="H5" s="4"/>
      <c r="I5" s="185">
        <v>44651</v>
      </c>
      <c r="J5" s="186">
        <f>EOMONTH(I5,1)</f>
        <v>44681</v>
      </c>
      <c r="K5" s="186">
        <f t="shared" ref="K5:U5" si="0">EOMONTH(J5,1)</f>
        <v>44712</v>
      </c>
      <c r="L5" s="186">
        <f t="shared" si="0"/>
        <v>44742</v>
      </c>
      <c r="M5" s="186">
        <f t="shared" si="0"/>
        <v>44773</v>
      </c>
      <c r="N5" s="186">
        <f t="shared" si="0"/>
        <v>44804</v>
      </c>
      <c r="O5" s="186">
        <f t="shared" si="0"/>
        <v>44834</v>
      </c>
      <c r="P5" s="186">
        <f t="shared" si="0"/>
        <v>44865</v>
      </c>
      <c r="Q5" s="186">
        <f t="shared" si="0"/>
        <v>44895</v>
      </c>
      <c r="R5" s="186">
        <f t="shared" si="0"/>
        <v>44926</v>
      </c>
      <c r="S5" s="186">
        <f t="shared" si="0"/>
        <v>44957</v>
      </c>
      <c r="T5" s="186">
        <f t="shared" si="0"/>
        <v>44985</v>
      </c>
      <c r="U5" s="186">
        <f t="shared" si="0"/>
        <v>45016</v>
      </c>
      <c r="V5" s="184" t="s">
        <v>12</v>
      </c>
      <c r="X5" s="70"/>
    </row>
    <row r="6" spans="1:26">
      <c r="A6" s="10" t="s">
        <v>13</v>
      </c>
      <c r="E6" s="190"/>
      <c r="J6" s="46"/>
      <c r="X6" s="70"/>
      <c r="Y6" s="269"/>
    </row>
    <row r="7" spans="1:26" ht="19.5" customHeight="1">
      <c r="A7" s="189" t="s">
        <v>243</v>
      </c>
      <c r="E7" s="246"/>
      <c r="F7" s="247"/>
      <c r="I7" s="62"/>
      <c r="J7" s="6">
        <f>(90%*(J31+J24))*(1+J15)</f>
        <v>1453241.6955342391</v>
      </c>
      <c r="K7" s="6">
        <f>(90%*(K31+K24))*(1+K15)</f>
        <v>1063730.0693626632</v>
      </c>
      <c r="L7" s="6">
        <f t="shared" ref="L7:U7" si="1">(90%*(L31+L24))*(1+L15)</f>
        <v>1110664.9539976793</v>
      </c>
      <c r="M7" s="6">
        <f t="shared" si="1"/>
        <v>1355847.4339713547</v>
      </c>
      <c r="N7" s="6">
        <f t="shared" si="1"/>
        <v>1249738.2004997442</v>
      </c>
      <c r="O7" s="6">
        <f t="shared" si="1"/>
        <v>1324923.3277699745</v>
      </c>
      <c r="P7" s="6">
        <f t="shared" si="1"/>
        <v>1154412.425605644</v>
      </c>
      <c r="Q7" s="6">
        <f t="shared" si="1"/>
        <v>1136863.3892051294</v>
      </c>
      <c r="R7" s="6">
        <f t="shared" si="1"/>
        <v>578397.91019931738</v>
      </c>
      <c r="S7" s="6">
        <f t="shared" si="1"/>
        <v>948074.64945090993</v>
      </c>
      <c r="T7" s="6">
        <f t="shared" si="1"/>
        <v>607929.80163693882</v>
      </c>
      <c r="U7" s="6">
        <f t="shared" si="1"/>
        <v>636767.40381206351</v>
      </c>
      <c r="V7" s="9">
        <f>SUM(J7:U7)</f>
        <v>12620591.261045657</v>
      </c>
      <c r="W7" s="46"/>
      <c r="X7" s="70"/>
      <c r="Z7" s="234" t="str">
        <f>"Revenue"&amp;" "&amp;TEXT($V$13,"₹ #,##0;[Red]₹ -#,##0")</f>
        <v>Revenue ₹ 31,41,45,338</v>
      </c>
    </row>
    <row r="8" spans="1:26" ht="19.5" customHeight="1">
      <c r="A8" s="189" t="s">
        <v>244</v>
      </c>
      <c r="C8" s="66"/>
      <c r="E8" s="246"/>
      <c r="F8" s="247"/>
      <c r="I8" s="62"/>
      <c r="J8" s="6">
        <f>(90%*(J32+J25))*(1+J16)</f>
        <v>20328860.558858823</v>
      </c>
      <c r="K8" s="6">
        <f>(90%*(K32+K25))*(1+K16)</f>
        <v>22337005.376827057</v>
      </c>
      <c r="L8" s="6">
        <f t="shared" ref="L8:U8" si="2">(90%*(L32+L25))*(1+L16)</f>
        <v>22537819.858623881</v>
      </c>
      <c r="M8" s="6">
        <f t="shared" si="2"/>
        <v>23397261.338309273</v>
      </c>
      <c r="N8" s="6">
        <f t="shared" si="2"/>
        <v>33602212.327148579</v>
      </c>
      <c r="O8" s="6">
        <f t="shared" si="2"/>
        <v>37744419.473091334</v>
      </c>
      <c r="P8" s="6">
        <f t="shared" si="2"/>
        <v>30619285.477268036</v>
      </c>
      <c r="Q8" s="6">
        <f t="shared" si="2"/>
        <v>30936690.569844455</v>
      </c>
      <c r="R8" s="6">
        <f t="shared" si="2"/>
        <v>12996292.362160914</v>
      </c>
      <c r="S8" s="6">
        <f t="shared" si="2"/>
        <v>25231952.30609845</v>
      </c>
      <c r="T8" s="6">
        <f t="shared" si="2"/>
        <v>14430061.359315727</v>
      </c>
      <c r="U8" s="6">
        <f t="shared" si="2"/>
        <v>15354115.088166868</v>
      </c>
      <c r="V8" s="9">
        <f t="shared" ref="V8:V11" si="3">SUM(J8:U8)</f>
        <v>289515976.09571344</v>
      </c>
      <c r="W8" s="46"/>
      <c r="X8" s="70"/>
      <c r="Z8" s="234" t="str">
        <f>"Gross Profit"&amp;" "&amp;TEXT($V$60,"[$$-en-US]#,##0_);([$$-en-US]#,##0)")</f>
        <v xml:space="preserve">Gross Profit $3,71,49,983 </v>
      </c>
    </row>
    <row r="9" spans="1:26" ht="19.5" customHeight="1">
      <c r="A9" s="189" t="s">
        <v>245</v>
      </c>
      <c r="E9" s="246"/>
      <c r="F9" s="247"/>
      <c r="I9" s="62"/>
      <c r="J9" s="6">
        <f>Services!C49*(1+'Business Projection'!J17)</f>
        <v>0</v>
      </c>
      <c r="K9" s="6">
        <f>Services!D49*(1+'Business Projection'!K17)</f>
        <v>387530</v>
      </c>
      <c r="L9" s="6">
        <f>Services!E49*(1+'Business Projection'!L17)</f>
        <v>775060</v>
      </c>
      <c r="M9" s="6">
        <f>Services!F49*(1+'Business Projection'!M17)</f>
        <v>0</v>
      </c>
      <c r="N9" s="6">
        <f>Services!G49*(1+'Business Projection'!N17)</f>
        <v>370457</v>
      </c>
      <c r="O9" s="6">
        <f>Services!H49*(1+'Business Projection'!O17)</f>
        <v>740914</v>
      </c>
      <c r="P9" s="6">
        <f>Services!I49*(1+'Business Projection'!P17)</f>
        <v>378045</v>
      </c>
      <c r="Q9" s="6">
        <f>Services!J49*(1+'Business Projection'!Q17)</f>
        <v>756090</v>
      </c>
      <c r="R9" s="6">
        <f>Services!K49*(1+'Business Projection'!R17)</f>
        <v>0</v>
      </c>
      <c r="S9" s="6">
        <f>Services!L49*(1+'Business Projection'!S17)</f>
        <v>0</v>
      </c>
      <c r="T9" s="6">
        <f>Services!M49*(1+'Business Projection'!T17)</f>
        <v>189022.5</v>
      </c>
      <c r="U9" s="6">
        <f>Services!N49*(1+'Business Projection'!U17)</f>
        <v>189022.5</v>
      </c>
      <c r="V9" s="9">
        <f t="shared" si="3"/>
        <v>3786141</v>
      </c>
      <c r="W9" s="46"/>
      <c r="X9" s="70"/>
      <c r="Z9" s="234" t="str">
        <f ca="1">"Net Profit"&amp;" "&amp;TEXT($V$90,"[$$-en-US]#,##0_);([$$-en-US]#,##0)")</f>
        <v xml:space="preserve">Net Profit $3,71,16,682 </v>
      </c>
    </row>
    <row r="10" spans="1:26" ht="19.5" customHeight="1">
      <c r="A10" s="189" t="s">
        <v>246</v>
      </c>
      <c r="E10" s="246"/>
      <c r="F10" s="247"/>
      <c r="I10" s="62"/>
      <c r="J10" s="6">
        <f t="shared" ref="J10:K10" si="4">(90%*(J27+J34))*(1+J18)</f>
        <v>0</v>
      </c>
      <c r="K10" s="6">
        <f t="shared" si="4"/>
        <v>0</v>
      </c>
      <c r="L10" s="6">
        <f>(90%*(L27+L34))*(1+L18)</f>
        <v>1328105.1755317624</v>
      </c>
      <c r="M10" s="6">
        <f t="shared" ref="M10:U10" si="5">(90%*(M27+M34))*(1+M18)</f>
        <v>695599.73591296619</v>
      </c>
      <c r="N10" s="6">
        <f t="shared" si="5"/>
        <v>2265425.6336653563</v>
      </c>
      <c r="O10" s="6">
        <f t="shared" si="5"/>
        <v>2250526.4885036028</v>
      </c>
      <c r="P10" s="6">
        <f t="shared" si="5"/>
        <v>952608.75299250812</v>
      </c>
      <c r="Q10" s="6">
        <f t="shared" si="5"/>
        <v>657333.95851537166</v>
      </c>
      <c r="R10" s="6">
        <f t="shared" si="5"/>
        <v>65733.395851537163</v>
      </c>
      <c r="S10" s="6">
        <f t="shared" si="5"/>
        <v>6573.3395851537161</v>
      </c>
      <c r="T10" s="6">
        <f t="shared" si="5"/>
        <v>657.33395851537182</v>
      </c>
      <c r="U10" s="6">
        <f t="shared" si="5"/>
        <v>65.733395851537182</v>
      </c>
      <c r="V10" s="9">
        <f t="shared" si="3"/>
        <v>8222629.5479126237</v>
      </c>
      <c r="W10" s="46"/>
      <c r="X10" s="70"/>
      <c r="Z10" s="234" t="str">
        <f ca="1">"OCF"&amp;" "&amp;TEXT($V$165,"[$$-en-US]#,##0_);([$$-en-US]#,##0)")</f>
        <v xml:space="preserve">OCF $4,39,25,268 </v>
      </c>
    </row>
    <row r="11" spans="1:26" ht="19.5" customHeight="1">
      <c r="A11" s="189" t="s">
        <v>247</v>
      </c>
      <c r="E11" s="246"/>
      <c r="F11" s="247"/>
      <c r="I11" s="62"/>
      <c r="J11" s="6">
        <f t="shared" ref="J11:U11" si="6">J35*(1+J19)</f>
        <v>0</v>
      </c>
      <c r="K11" s="6">
        <f t="shared" si="6"/>
        <v>0</v>
      </c>
      <c r="L11" s="6">
        <f t="shared" si="6"/>
        <v>0</v>
      </c>
      <c r="M11" s="6">
        <f t="shared" si="6"/>
        <v>0</v>
      </c>
      <c r="N11" s="6">
        <f t="shared" si="6"/>
        <v>0</v>
      </c>
      <c r="O11" s="6">
        <f t="shared" si="6"/>
        <v>0</v>
      </c>
      <c r="P11" s="6">
        <f t="shared" si="6"/>
        <v>0</v>
      </c>
      <c r="Q11" s="6">
        <f t="shared" si="6"/>
        <v>0</v>
      </c>
      <c r="R11" s="6">
        <f t="shared" si="6"/>
        <v>0</v>
      </c>
      <c r="S11" s="6">
        <f t="shared" si="6"/>
        <v>0</v>
      </c>
      <c r="T11" s="6">
        <f t="shared" si="6"/>
        <v>0</v>
      </c>
      <c r="U11" s="6">
        <f t="shared" si="6"/>
        <v>0</v>
      </c>
      <c r="V11" s="9">
        <f t="shared" si="3"/>
        <v>0</v>
      </c>
      <c r="W11" s="46"/>
      <c r="X11" s="70"/>
      <c r="Z11" s="11"/>
    </row>
    <row r="12" spans="1:26" ht="6.75" customHeight="1" thickBot="1"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46"/>
      <c r="X12" s="70"/>
      <c r="Z12" s="178"/>
    </row>
    <row r="13" spans="1:26">
      <c r="A13" s="12" t="s">
        <v>61</v>
      </c>
      <c r="B13" s="13"/>
      <c r="C13" s="13"/>
      <c r="D13" s="13"/>
      <c r="E13" s="13"/>
      <c r="F13" s="13"/>
      <c r="G13" s="13"/>
      <c r="H13" s="13"/>
      <c r="I13" s="19">
        <f>SUM(I7:I12)</f>
        <v>0</v>
      </c>
      <c r="J13" s="19">
        <f t="shared" ref="J13:V13" si="7">SUM(J7:J12)</f>
        <v>21782102.254393063</v>
      </c>
      <c r="K13" s="19">
        <f t="shared" si="7"/>
        <v>23788265.44618972</v>
      </c>
      <c r="L13" s="19">
        <f t="shared" si="7"/>
        <v>25751649.988153324</v>
      </c>
      <c r="M13" s="19">
        <f t="shared" si="7"/>
        <v>25448708.508193593</v>
      </c>
      <c r="N13" s="19">
        <f t="shared" si="7"/>
        <v>37487833.161313675</v>
      </c>
      <c r="O13" s="19">
        <f t="shared" si="7"/>
        <v>42060783.289364912</v>
      </c>
      <c r="P13" s="19">
        <f t="shared" si="7"/>
        <v>33104351.655866187</v>
      </c>
      <c r="Q13" s="19">
        <f t="shared" si="7"/>
        <v>33486977.917564955</v>
      </c>
      <c r="R13" s="19">
        <f t="shared" si="7"/>
        <v>13640423.668211769</v>
      </c>
      <c r="S13" s="19">
        <f t="shared" si="7"/>
        <v>26186600.295134515</v>
      </c>
      <c r="T13" s="19">
        <f t="shared" si="7"/>
        <v>15227670.994911181</v>
      </c>
      <c r="U13" s="19">
        <f t="shared" si="7"/>
        <v>16179970.725374784</v>
      </c>
      <c r="V13" s="233">
        <f t="shared" si="7"/>
        <v>314145337.90467167</v>
      </c>
      <c r="W13" s="46"/>
      <c r="X13" s="70"/>
      <c r="Z13" s="11"/>
    </row>
    <row r="14" spans="1:26" outlineLevel="1">
      <c r="I14" s="15"/>
      <c r="J14" s="15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X14" s="70"/>
      <c r="Z14" s="11"/>
    </row>
    <row r="15" spans="1:26" outlineLevel="1">
      <c r="D15" s="22"/>
      <c r="H15" s="1196" t="s">
        <v>281</v>
      </c>
      <c r="I15" s="170" t="str">
        <f>A7</f>
        <v>Inputs</v>
      </c>
      <c r="J15" s="609">
        <f>IFERROR(AVERAGE('Master Assumptions'!$T$167:$T$212),0)</f>
        <v>0.19456521739130442</v>
      </c>
      <c r="K15" s="609">
        <f>IFERROR(AVERAGE('Master Assumptions'!$T$167:$T$212),0)</f>
        <v>0.19456521739130442</v>
      </c>
      <c r="L15" s="609">
        <f>IFERROR(AVERAGE('Master Assumptions'!$T$167:$T$212),0)</f>
        <v>0.19456521739130442</v>
      </c>
      <c r="M15" s="609">
        <f>IFERROR(AVERAGE('Master Assumptions'!$U$167:$U$212),0)</f>
        <v>0.13739130434782612</v>
      </c>
      <c r="N15" s="609">
        <f>IFERROR(AVERAGE('Master Assumptions'!$U$167:$U$212),0)</f>
        <v>0.13739130434782612</v>
      </c>
      <c r="O15" s="609">
        <f>IFERROR(AVERAGE('Master Assumptions'!$U$167:$U$212),0)</f>
        <v>0.13739130434782612</v>
      </c>
      <c r="P15" s="609">
        <f>IFERROR(AVERAGE('Master Assumptions'!$V$167:$V$212),0)</f>
        <v>0.17173913043478264</v>
      </c>
      <c r="Q15" s="609">
        <f>IFERROR(AVERAGE('Master Assumptions'!$V$167:$V$212),0)</f>
        <v>0.17173913043478264</v>
      </c>
      <c r="R15" s="609">
        <f>AVERAGE('Master Assumptions'!$V$167:$V$212)</f>
        <v>0.17173913043478264</v>
      </c>
      <c r="S15" s="609">
        <f>IFERROR(AVERAGE('Master Assumptions'!$W$167:$W$212),0)</f>
        <v>0.17173913043478264</v>
      </c>
      <c r="T15" s="609">
        <f>IFERROR(AVERAGE('Master Assumptions'!$W$167:$W$212),0)</f>
        <v>0.17173913043478264</v>
      </c>
      <c r="U15" s="609">
        <f>IFERROR(AVERAGE('Master Assumptions'!$W$167:$W$212),0)</f>
        <v>0.17173913043478264</v>
      </c>
      <c r="V15" s="172"/>
      <c r="X15" s="70"/>
      <c r="Z15" s="178"/>
    </row>
    <row r="16" spans="1:26" outlineLevel="1">
      <c r="A16" s="17"/>
      <c r="D16" s="22"/>
      <c r="E16" s="27"/>
      <c r="F16" s="58"/>
      <c r="G16" s="58"/>
      <c r="H16" s="1196"/>
      <c r="I16" s="173" t="str">
        <f>A8</f>
        <v>Output</v>
      </c>
      <c r="J16" s="609">
        <f>IFERROR(AVERAGE('Master Assumptions'!$T$240:$T$256),0)</f>
        <v>0.19705882352941176</v>
      </c>
      <c r="K16" s="609">
        <f>IFERROR(AVERAGE('Master Assumptions'!$T$240:$T$256),0)</f>
        <v>0.19705882352941176</v>
      </c>
      <c r="L16" s="609">
        <f>IFERROR(AVERAGE('Master Assumptions'!$T$240:$T$256),0)</f>
        <v>0.19705882352941176</v>
      </c>
      <c r="M16" s="609">
        <f>IFERROR(AVERAGE('Master Assumptions'!$U$240:$U$256),0)</f>
        <v>0.13470588235294118</v>
      </c>
      <c r="N16" s="609">
        <f>IFERROR(AVERAGE('Master Assumptions'!$U$240:$U$256),0)</f>
        <v>0.13470588235294118</v>
      </c>
      <c r="O16" s="609">
        <f>IFERROR(AVERAGE('Master Assumptions'!$U$240:$U$256),0)</f>
        <v>0.13470588235294118</v>
      </c>
      <c r="P16" s="609">
        <f>IFERROR(AVERAGE('Master Assumptions'!$V$240:$V$256),0)</f>
        <v>0.16764705882352943</v>
      </c>
      <c r="Q16" s="609">
        <f>IFERROR(AVERAGE('Master Assumptions'!$V$240:$V$256),0)</f>
        <v>0.16764705882352943</v>
      </c>
      <c r="R16" s="609">
        <f>AVERAGE('Master Assumptions'!$V$240:$V$256)</f>
        <v>0.16764705882352943</v>
      </c>
      <c r="S16" s="609">
        <f>IFERROR(AVERAGE('Master Assumptions'!$W$240:$W$256),0)</f>
        <v>0.16764705882352943</v>
      </c>
      <c r="T16" s="609">
        <f>IFERROR(AVERAGE('Master Assumptions'!$W$240:$W$256),0)</f>
        <v>0.16764705882352943</v>
      </c>
      <c r="U16" s="609">
        <f>IFERROR(AVERAGE('Master Assumptions'!$W$240:$W$256),0)</f>
        <v>0.16764705882352943</v>
      </c>
      <c r="V16" s="34"/>
      <c r="X16" s="70"/>
    </row>
    <row r="17" spans="1:24" outlineLevel="1">
      <c r="A17" s="17"/>
      <c r="D17" s="22"/>
      <c r="E17" s="27"/>
      <c r="F17" s="58"/>
      <c r="G17" s="58"/>
      <c r="H17" s="1196"/>
      <c r="I17" s="173" t="str">
        <f>A9</f>
        <v>Services</v>
      </c>
      <c r="J17" s="610">
        <f>IFERROR(AVERAGE('Master Assumptions'!$T$298:$T$309),0)</f>
        <v>0.19166666666666665</v>
      </c>
      <c r="K17" s="610">
        <f>IFERROR(AVERAGE('Master Assumptions'!$T$298:$T$309),0)</f>
        <v>0.19166666666666665</v>
      </c>
      <c r="L17" s="610">
        <f>IFERROR(AVERAGE('Master Assumptions'!$T$298:$T$309),0)</f>
        <v>0.19166666666666665</v>
      </c>
      <c r="M17" s="610">
        <f>IFERROR(AVERAGE('Master Assumptions'!$U$298:$U$309),0)</f>
        <v>0.13916666666666666</v>
      </c>
      <c r="N17" s="610">
        <f>IFERROR(AVERAGE('Master Assumptions'!$U$298:$U$309),0)</f>
        <v>0.13916666666666666</v>
      </c>
      <c r="O17" s="610">
        <f>IFERROR(AVERAGE('Master Assumptions'!$U$298:$U$309),0)</f>
        <v>0.13916666666666666</v>
      </c>
      <c r="P17" s="610">
        <f>IFERROR(AVERAGE('Master Assumptions'!$V$298:$V$309),0)</f>
        <v>0.16249999999999998</v>
      </c>
      <c r="Q17" s="610">
        <f>IFERROR(AVERAGE('Master Assumptions'!$V$298:$V$309),0)</f>
        <v>0.16249999999999998</v>
      </c>
      <c r="R17" s="610">
        <f>AVERAGE('Master Assumptions'!$V$298:$V$309)</f>
        <v>0.16249999999999998</v>
      </c>
      <c r="S17" s="610">
        <f>IFERROR(AVERAGE('Master Assumptions'!$W$298:$W$309),0)</f>
        <v>0.16249999999999998</v>
      </c>
      <c r="T17" s="610">
        <f>IFERROR(AVERAGE('Master Assumptions'!$W$298:$W$309),0)</f>
        <v>0.16249999999999998</v>
      </c>
      <c r="U17" s="610">
        <f>IFERROR(AVERAGE('Master Assumptions'!$W$298:$W$309),0)</f>
        <v>0.16249999999999998</v>
      </c>
      <c r="V17" s="34"/>
      <c r="X17" s="70"/>
    </row>
    <row r="18" spans="1:24" outlineLevel="1">
      <c r="A18" s="17"/>
      <c r="D18" s="22"/>
      <c r="E18" s="27"/>
      <c r="F18" s="58"/>
      <c r="G18" s="58"/>
      <c r="H18" s="1196"/>
      <c r="I18" s="173" t="str">
        <f>A10</f>
        <v>Processing</v>
      </c>
      <c r="J18" s="610">
        <f>Processing!$D$136</f>
        <v>0.29173005712317379</v>
      </c>
      <c r="K18" s="610">
        <f>Processing!$D$136</f>
        <v>0.29173005712317379</v>
      </c>
      <c r="L18" s="610">
        <f>Processing!$D$136</f>
        <v>0.29173005712317379</v>
      </c>
      <c r="M18" s="610">
        <f>Processing!$D$136</f>
        <v>0.29173005712317379</v>
      </c>
      <c r="N18" s="610">
        <f>Processing!$D$136</f>
        <v>0.29173005712317379</v>
      </c>
      <c r="O18" s="610">
        <f>Processing!$D$136</f>
        <v>0.29173005712317379</v>
      </c>
      <c r="P18" s="610">
        <f>Processing!$D$136</f>
        <v>0.29173005712317379</v>
      </c>
      <c r="Q18" s="610">
        <f>Processing!$D$136</f>
        <v>0.29173005712317379</v>
      </c>
      <c r="R18" s="610">
        <f>Processing!$D$136</f>
        <v>0.29173005712317379</v>
      </c>
      <c r="S18" s="610">
        <f>Processing!$D$136</f>
        <v>0.29173005712317379</v>
      </c>
      <c r="T18" s="610">
        <f>Processing!$D$136</f>
        <v>0.29173005712317379</v>
      </c>
      <c r="U18" s="610">
        <f>Processing!$D$136</f>
        <v>0.29173005712317379</v>
      </c>
      <c r="V18" s="34"/>
      <c r="X18" s="70"/>
    </row>
    <row r="19" spans="1:24" outlineLevel="1">
      <c r="A19" s="17"/>
      <c r="D19" s="22"/>
      <c r="E19" s="27"/>
      <c r="F19" s="58"/>
      <c r="G19" s="58"/>
      <c r="H19" s="1196"/>
      <c r="I19" s="175" t="str">
        <f>A11</f>
        <v>Others</v>
      </c>
      <c r="J19" s="611"/>
      <c r="K19" s="611"/>
      <c r="L19" s="611"/>
      <c r="M19" s="611"/>
      <c r="N19" s="611"/>
      <c r="O19" s="611"/>
      <c r="P19" s="611"/>
      <c r="Q19" s="611"/>
      <c r="R19" s="611"/>
      <c r="S19" s="611"/>
      <c r="T19" s="611"/>
      <c r="U19" s="611"/>
      <c r="V19" s="177"/>
      <c r="X19" s="70"/>
    </row>
    <row r="20" spans="1:24" outlineLevel="1">
      <c r="A20" s="17"/>
      <c r="D20" s="22"/>
      <c r="E20" s="27"/>
      <c r="F20" s="58"/>
      <c r="G20" s="58"/>
      <c r="H20" s="59"/>
      <c r="I20" s="23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"/>
      <c r="X20" s="70"/>
    </row>
    <row r="21" spans="1:24" outlineLevel="1">
      <c r="A21" s="1" t="s">
        <v>28</v>
      </c>
      <c r="D21" s="22"/>
      <c r="E21" s="27"/>
      <c r="F21" s="58"/>
      <c r="G21" s="58"/>
      <c r="H21" s="59"/>
      <c r="I21" s="23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6"/>
      <c r="X21" s="70"/>
    </row>
    <row r="22" spans="1:24" outlineLevel="1">
      <c r="A22" s="17"/>
      <c r="D22" s="22"/>
      <c r="E22" s="27"/>
      <c r="F22" s="58"/>
      <c r="G22" s="58"/>
      <c r="H22" s="59"/>
      <c r="I22" s="23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6"/>
      <c r="X22" s="70"/>
    </row>
    <row r="23" spans="1:24" outlineLevel="1">
      <c r="A23" s="16" t="s">
        <v>25</v>
      </c>
      <c r="D23" s="22"/>
      <c r="E23" s="27"/>
      <c r="F23" s="58"/>
      <c r="G23" s="58"/>
      <c r="H23" s="59"/>
      <c r="I23" s="25"/>
      <c r="J23" s="25">
        <f>SUM(J24:J28)</f>
        <v>520536.17000000004</v>
      </c>
      <c r="K23" s="25">
        <f>SUM(K24:K28)</f>
        <v>2022098.3304999999</v>
      </c>
      <c r="L23" s="25">
        <f t="shared" ref="L23:V23" si="8">SUM(L24:L28)</f>
        <v>2172264.5425499999</v>
      </c>
      <c r="M23" s="25">
        <f t="shared" si="8"/>
        <v>2309509.7557549998</v>
      </c>
      <c r="N23" s="25">
        <f t="shared" si="8"/>
        <v>2483360.0595755004</v>
      </c>
      <c r="O23" s="25">
        <f t="shared" si="8"/>
        <v>3607301.6649575504</v>
      </c>
      <c r="P23" s="25">
        <f t="shared" si="8"/>
        <v>4018972.3929957557</v>
      </c>
      <c r="Q23" s="25">
        <f t="shared" si="8"/>
        <v>3105082.8707995759</v>
      </c>
      <c r="R23" s="25">
        <f t="shared" si="8"/>
        <v>3108223.7085799575</v>
      </c>
      <c r="S23" s="25">
        <f t="shared" si="8"/>
        <v>1297204.1416079958</v>
      </c>
      <c r="T23" s="25">
        <f t="shared" si="8"/>
        <v>2491492.7749107997</v>
      </c>
      <c r="U23" s="25">
        <f t="shared" si="8"/>
        <v>1430841.6382410801</v>
      </c>
      <c r="V23" s="25">
        <f t="shared" si="8"/>
        <v>520536.17000000004</v>
      </c>
      <c r="W23" s="6"/>
      <c r="X23" s="70"/>
    </row>
    <row r="24" spans="1:24" outlineLevel="1">
      <c r="A24" s="60" t="str">
        <f>A7</f>
        <v>Inputs</v>
      </c>
      <c r="D24" s="22"/>
      <c r="E24" s="27"/>
      <c r="F24" s="58"/>
      <c r="G24" s="58"/>
      <c r="H24" s="62"/>
      <c r="I24" s="62"/>
      <c r="J24" s="28">
        <f>I38</f>
        <v>497571.33</v>
      </c>
      <c r="K24" s="28">
        <f>J38</f>
        <v>135171.60649999999</v>
      </c>
      <c r="L24" s="28">
        <f t="shared" ref="L24:U24" si="9">K38</f>
        <v>98941.630150000012</v>
      </c>
      <c r="M24" s="28">
        <f t="shared" si="9"/>
        <v>103307.22451500001</v>
      </c>
      <c r="N24" s="28">
        <f t="shared" si="9"/>
        <v>132451.96645149999</v>
      </c>
      <c r="O24" s="28">
        <f t="shared" si="9"/>
        <v>122086.21564515001</v>
      </c>
      <c r="P24" s="28">
        <f t="shared" si="9"/>
        <v>129431.00806451502</v>
      </c>
      <c r="Q24" s="28">
        <f t="shared" si="9"/>
        <v>109468.09230645151</v>
      </c>
      <c r="R24" s="28">
        <f t="shared" si="9"/>
        <v>107803.99073064514</v>
      </c>
      <c r="S24" s="28">
        <f t="shared" si="9"/>
        <v>54847.049823064524</v>
      </c>
      <c r="T24" s="28">
        <f t="shared" si="9"/>
        <v>89901.945732306456</v>
      </c>
      <c r="U24" s="28">
        <f t="shared" si="9"/>
        <v>57647.435323230646</v>
      </c>
      <c r="V24" s="28">
        <f>J24</f>
        <v>497571.33</v>
      </c>
      <c r="W24" s="6"/>
      <c r="X24" s="70"/>
    </row>
    <row r="25" spans="1:24" outlineLevel="1">
      <c r="A25" s="60" t="str">
        <f t="shared" ref="A25:A28" si="10">A8</f>
        <v>Output</v>
      </c>
      <c r="D25" s="22"/>
      <c r="E25" s="27"/>
      <c r="F25" s="58"/>
      <c r="G25" s="58"/>
      <c r="H25" s="62"/>
      <c r="I25" s="62"/>
      <c r="J25" s="28">
        <f t="shared" ref="J25" si="11">I39</f>
        <v>22964.840000000004</v>
      </c>
      <c r="K25" s="28">
        <f t="shared" ref="K25:U25" si="12">J39</f>
        <v>1886926.7239999999</v>
      </c>
      <c r="L25" s="28">
        <f t="shared" si="12"/>
        <v>2073322.9123999998</v>
      </c>
      <c r="M25" s="28">
        <f t="shared" si="12"/>
        <v>2091962.5312399999</v>
      </c>
      <c r="N25" s="28">
        <f t="shared" si="12"/>
        <v>2291074.4931240003</v>
      </c>
      <c r="O25" s="28">
        <f t="shared" si="12"/>
        <v>3290349.6893124003</v>
      </c>
      <c r="P25" s="28">
        <f t="shared" si="12"/>
        <v>3695957.2089312407</v>
      </c>
      <c r="Q25" s="28">
        <f t="shared" si="12"/>
        <v>2913673.9608931243</v>
      </c>
      <c r="R25" s="28">
        <f t="shared" si="12"/>
        <v>2943877.6360893124</v>
      </c>
      <c r="S25" s="28">
        <f t="shared" si="12"/>
        <v>1236702.8836089312</v>
      </c>
      <c r="T25" s="28">
        <f t="shared" si="12"/>
        <v>2401025.4083608934</v>
      </c>
      <c r="U25" s="28">
        <f t="shared" si="12"/>
        <v>1373137.6608360894</v>
      </c>
      <c r="V25" s="28">
        <f t="shared" ref="V25:V28" si="13">J25</f>
        <v>22964.840000000004</v>
      </c>
      <c r="W25" s="6"/>
      <c r="X25" s="70"/>
    </row>
    <row r="26" spans="1:24" outlineLevel="1">
      <c r="A26" s="60" t="str">
        <f t="shared" si="10"/>
        <v>Services</v>
      </c>
      <c r="D26" s="22"/>
      <c r="E26" s="27"/>
      <c r="F26" s="58"/>
      <c r="G26" s="58"/>
      <c r="H26" s="62"/>
      <c r="I26" s="62"/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v>0</v>
      </c>
      <c r="V26" s="28">
        <f t="shared" si="13"/>
        <v>0</v>
      </c>
      <c r="W26" s="6"/>
      <c r="X26" s="70"/>
    </row>
    <row r="27" spans="1:24" outlineLevel="1">
      <c r="A27" s="60" t="str">
        <f t="shared" si="10"/>
        <v>Processing</v>
      </c>
      <c r="D27" s="22"/>
      <c r="E27" s="27"/>
      <c r="F27" s="58"/>
      <c r="G27" s="58"/>
      <c r="H27" s="62"/>
      <c r="I27" s="62"/>
      <c r="J27" s="28">
        <f>I41</f>
        <v>0</v>
      </c>
      <c r="K27" s="28">
        <f>J41</f>
        <v>0</v>
      </c>
      <c r="L27" s="28">
        <f t="shared" ref="L27:U27" si="14">K41</f>
        <v>0</v>
      </c>
      <c r="M27" s="28">
        <f t="shared" si="14"/>
        <v>114240</v>
      </c>
      <c r="N27" s="28">
        <f t="shared" si="14"/>
        <v>59833.600000000006</v>
      </c>
      <c r="O27" s="28">
        <f t="shared" si="14"/>
        <v>194865.76</v>
      </c>
      <c r="P27" s="28">
        <f t="shared" si="14"/>
        <v>193584.17600000001</v>
      </c>
      <c r="Q27" s="28">
        <f t="shared" si="14"/>
        <v>81940.817600000009</v>
      </c>
      <c r="R27" s="28">
        <f t="shared" si="14"/>
        <v>56542.081760000001</v>
      </c>
      <c r="S27" s="28">
        <f t="shared" si="14"/>
        <v>5654.2081760000001</v>
      </c>
      <c r="T27" s="28">
        <f t="shared" si="14"/>
        <v>565.42081760000008</v>
      </c>
      <c r="U27" s="28">
        <f t="shared" si="14"/>
        <v>56.542081760000009</v>
      </c>
      <c r="V27" s="28">
        <f t="shared" si="13"/>
        <v>0</v>
      </c>
      <c r="W27" s="6"/>
      <c r="X27" s="70"/>
    </row>
    <row r="28" spans="1:24" outlineLevel="1">
      <c r="A28" s="60" t="str">
        <f t="shared" si="10"/>
        <v>Others</v>
      </c>
      <c r="D28" s="22"/>
      <c r="E28" s="27"/>
      <c r="F28" s="58"/>
      <c r="G28" s="58"/>
      <c r="H28" s="62"/>
      <c r="I28" s="62"/>
      <c r="J28" s="28">
        <v>0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8">
        <v>0</v>
      </c>
      <c r="T28" s="28">
        <v>0</v>
      </c>
      <c r="U28" s="28">
        <v>0</v>
      </c>
      <c r="V28" s="28">
        <f t="shared" si="13"/>
        <v>0</v>
      </c>
      <c r="W28" s="6"/>
      <c r="X28" s="70"/>
    </row>
    <row r="29" spans="1:24" outlineLevel="1">
      <c r="A29" s="17"/>
      <c r="D29" s="22"/>
      <c r="E29" s="27"/>
      <c r="F29" s="58"/>
      <c r="G29" s="58"/>
      <c r="H29" s="62"/>
      <c r="I29" s="6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6"/>
      <c r="X29" s="70"/>
    </row>
    <row r="30" spans="1:24" outlineLevel="1">
      <c r="A30" s="16" t="s">
        <v>27</v>
      </c>
      <c r="D30" s="22"/>
      <c r="E30" s="27"/>
      <c r="F30" s="58"/>
      <c r="G30" s="58"/>
      <c r="H30" s="62"/>
      <c r="I30" s="36"/>
      <c r="J30" s="25">
        <f>SUM(J31:J35)</f>
        <v>19700447.134999998</v>
      </c>
      <c r="K30" s="25">
        <f t="shared" ref="K30:V30" si="15">SUM(K31:K35)</f>
        <v>19700547.094999999</v>
      </c>
      <c r="L30" s="25">
        <f t="shared" si="15"/>
        <v>20922833.014999997</v>
      </c>
      <c r="M30" s="25">
        <f t="shared" si="15"/>
        <v>22524090.84</v>
      </c>
      <c r="N30" s="25">
        <f t="shared" si="15"/>
        <v>33589656.590000004</v>
      </c>
      <c r="O30" s="25">
        <f t="shared" si="15"/>
        <v>36582422.265000008</v>
      </c>
      <c r="P30" s="25">
        <f t="shared" si="15"/>
        <v>27031856.314999998</v>
      </c>
      <c r="Q30" s="25">
        <f t="shared" si="15"/>
        <v>27977154.215</v>
      </c>
      <c r="R30" s="25">
        <f t="shared" si="15"/>
        <v>9863817.7074999996</v>
      </c>
      <c r="S30" s="25">
        <f t="shared" si="15"/>
        <v>23617723.607500002</v>
      </c>
      <c r="T30" s="25">
        <f t="shared" si="15"/>
        <v>11816923.6075</v>
      </c>
      <c r="U30" s="25">
        <f t="shared" si="15"/>
        <v>13783723.6075</v>
      </c>
      <c r="V30" s="25">
        <f t="shared" si="15"/>
        <v>267111196</v>
      </c>
      <c r="W30" s="46"/>
      <c r="X30" s="70"/>
    </row>
    <row r="31" spans="1:24" outlineLevel="1">
      <c r="A31" s="60" t="str">
        <f>A7</f>
        <v>Inputs</v>
      </c>
      <c r="D31" s="22"/>
      <c r="E31" s="27"/>
      <c r="F31" s="58"/>
      <c r="G31" s="58"/>
      <c r="H31" s="62"/>
      <c r="I31" s="28"/>
      <c r="J31" s="28">
        <f>Input!C150</f>
        <v>854144.73499999999</v>
      </c>
      <c r="K31" s="28">
        <f>Input!D150</f>
        <v>854244.69500000007</v>
      </c>
      <c r="L31" s="28">
        <f>Input!E150</f>
        <v>934130.61499999999</v>
      </c>
      <c r="M31" s="28">
        <f>Input!F150</f>
        <v>1221212.44</v>
      </c>
      <c r="N31" s="28">
        <f>Input!G150</f>
        <v>1088410.19</v>
      </c>
      <c r="O31" s="28">
        <f>Input!H150</f>
        <v>1172223.865</v>
      </c>
      <c r="P31" s="28">
        <f>Input!I150</f>
        <v>965249.91500000004</v>
      </c>
      <c r="Q31" s="28">
        <f>Input!J150</f>
        <v>968571.81499999994</v>
      </c>
      <c r="R31" s="28">
        <f>Input!K150</f>
        <v>440666.50750000001</v>
      </c>
      <c r="S31" s="28">
        <f>Input!L150</f>
        <v>844172.40749999997</v>
      </c>
      <c r="T31" s="28">
        <f>Input!M150</f>
        <v>486572.40749999997</v>
      </c>
      <c r="U31" s="28">
        <f>Input!N150</f>
        <v>546172.40749999997</v>
      </c>
      <c r="V31" s="28">
        <f t="shared" ref="V31:V35" si="16">SUM(J31:U31)</f>
        <v>10375772.000000002</v>
      </c>
      <c r="W31" s="46"/>
      <c r="X31" s="70"/>
    </row>
    <row r="32" spans="1:24" outlineLevel="1">
      <c r="A32" s="60" t="str">
        <f t="shared" ref="A32:A35" si="17">A8</f>
        <v>Output</v>
      </c>
      <c r="D32" s="22"/>
      <c r="E32" s="27"/>
      <c r="F32" s="58"/>
      <c r="G32" s="58"/>
      <c r="H32" s="62"/>
      <c r="I32" s="23"/>
      <c r="J32" s="28">
        <f>Output!C64</f>
        <v>18846302.399999999</v>
      </c>
      <c r="K32" s="28">
        <f>Output!D64</f>
        <v>18846302.399999999</v>
      </c>
      <c r="L32" s="28">
        <f>Output!E64</f>
        <v>18846302.399999999</v>
      </c>
      <c r="M32" s="28">
        <f>Output!F64</f>
        <v>20818782.399999999</v>
      </c>
      <c r="N32" s="28">
        <f>Output!G64</f>
        <v>30612422.399999999</v>
      </c>
      <c r="O32" s="28">
        <f>Output!H64</f>
        <v>33669222.400000006</v>
      </c>
      <c r="P32" s="28">
        <f>Output!I64</f>
        <v>25440782.399999999</v>
      </c>
      <c r="Q32" s="28">
        <f>Output!J64</f>
        <v>26525102.399999999</v>
      </c>
      <c r="R32" s="28">
        <f>Output!K64</f>
        <v>9423151.1999999993</v>
      </c>
      <c r="S32" s="28">
        <f>Output!L64</f>
        <v>22773551.200000003</v>
      </c>
      <c r="T32" s="28">
        <f>Output!M64</f>
        <v>11330351.199999999</v>
      </c>
      <c r="U32" s="28">
        <f>Output!N64</f>
        <v>13237551.199999999</v>
      </c>
      <c r="V32" s="28">
        <f t="shared" si="16"/>
        <v>250369824</v>
      </c>
      <c r="W32" s="46"/>
      <c r="X32" s="70"/>
    </row>
    <row r="33" spans="1:24" outlineLevel="1">
      <c r="A33" s="60" t="str">
        <f t="shared" si="17"/>
        <v>Services</v>
      </c>
      <c r="D33" s="22"/>
      <c r="E33" s="27"/>
      <c r="F33" s="58"/>
      <c r="G33" s="58"/>
      <c r="H33" s="62"/>
      <c r="I33" s="23"/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28">
        <v>0</v>
      </c>
      <c r="Q33" s="28">
        <v>0</v>
      </c>
      <c r="R33" s="28">
        <v>0</v>
      </c>
      <c r="S33" s="28">
        <v>0</v>
      </c>
      <c r="T33" s="28">
        <v>0</v>
      </c>
      <c r="U33" s="28">
        <v>0</v>
      </c>
      <c r="V33" s="28">
        <f t="shared" si="16"/>
        <v>0</v>
      </c>
      <c r="W33" s="46"/>
      <c r="X33" s="70"/>
    </row>
    <row r="34" spans="1:24" outlineLevel="1">
      <c r="A34" s="60" t="str">
        <f t="shared" si="17"/>
        <v>Processing</v>
      </c>
      <c r="D34" s="22"/>
      <c r="E34" s="27"/>
      <c r="F34" s="58"/>
      <c r="G34" s="58"/>
      <c r="H34" s="62"/>
      <c r="I34" s="23"/>
      <c r="J34" s="28">
        <f>Processing!C82</f>
        <v>0</v>
      </c>
      <c r="K34" s="28">
        <f>Processing!D82</f>
        <v>0</v>
      </c>
      <c r="L34" s="28">
        <f>Processing!E82</f>
        <v>1142400</v>
      </c>
      <c r="M34" s="28">
        <f>Processing!F82</f>
        <v>484096</v>
      </c>
      <c r="N34" s="28">
        <f>Processing!G82</f>
        <v>1888824</v>
      </c>
      <c r="O34" s="28">
        <f>Processing!H82</f>
        <v>1740976</v>
      </c>
      <c r="P34" s="28">
        <f>Processing!I82</f>
        <v>625824</v>
      </c>
      <c r="Q34" s="28">
        <f>Processing!J82</f>
        <v>483480</v>
      </c>
      <c r="R34" s="28">
        <f>Processing!K82</f>
        <v>0</v>
      </c>
      <c r="S34" s="28">
        <f>Processing!L82</f>
        <v>0</v>
      </c>
      <c r="T34" s="28">
        <f>Processing!M82</f>
        <v>0</v>
      </c>
      <c r="U34" s="28">
        <f>Processing!N82</f>
        <v>0</v>
      </c>
      <c r="V34" s="28">
        <f t="shared" si="16"/>
        <v>6365600</v>
      </c>
      <c r="W34" s="46"/>
      <c r="X34" s="70"/>
    </row>
    <row r="35" spans="1:24" outlineLevel="1">
      <c r="A35" s="60" t="str">
        <f t="shared" si="17"/>
        <v>Others</v>
      </c>
      <c r="D35" s="22"/>
      <c r="E35" s="27"/>
      <c r="F35" s="58"/>
      <c r="G35" s="58"/>
      <c r="H35" s="62"/>
      <c r="I35" s="23"/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28">
        <v>0</v>
      </c>
      <c r="Q35" s="28">
        <v>0</v>
      </c>
      <c r="R35" s="28">
        <v>0</v>
      </c>
      <c r="S35" s="28">
        <v>0</v>
      </c>
      <c r="T35" s="28">
        <v>0</v>
      </c>
      <c r="U35" s="28">
        <v>0</v>
      </c>
      <c r="V35" s="28">
        <f t="shared" si="16"/>
        <v>0</v>
      </c>
      <c r="W35" s="46"/>
      <c r="X35" s="70"/>
    </row>
    <row r="36" spans="1:24" outlineLevel="1">
      <c r="A36" s="17"/>
      <c r="D36" s="22"/>
      <c r="E36" s="27"/>
      <c r="F36" s="58"/>
      <c r="G36" s="58"/>
      <c r="H36" s="62"/>
      <c r="I36" s="23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6"/>
      <c r="X36" s="70"/>
    </row>
    <row r="37" spans="1:24" outlineLevel="1">
      <c r="A37" s="16" t="s">
        <v>26</v>
      </c>
      <c r="D37" s="22"/>
      <c r="E37" s="27"/>
      <c r="F37" s="58"/>
      <c r="G37" s="58"/>
      <c r="H37" s="62"/>
      <c r="I37" s="25">
        <f>SUM(I38:I42)</f>
        <v>520536.17000000004</v>
      </c>
      <c r="J37" s="25">
        <f>SUM(J38:J42)</f>
        <v>2022098.3304999999</v>
      </c>
      <c r="K37" s="25">
        <f t="shared" ref="K37:U37" si="18">SUM(K38:K42)</f>
        <v>2172264.5425499999</v>
      </c>
      <c r="L37" s="25">
        <f t="shared" si="18"/>
        <v>2309509.7557549998</v>
      </c>
      <c r="M37" s="25">
        <f t="shared" si="18"/>
        <v>2483360.0595755004</v>
      </c>
      <c r="N37" s="25">
        <f t="shared" si="18"/>
        <v>3607301.6649575504</v>
      </c>
      <c r="O37" s="25">
        <f t="shared" si="18"/>
        <v>4018972.3929957557</v>
      </c>
      <c r="P37" s="25">
        <f t="shared" si="18"/>
        <v>3105082.8707995759</v>
      </c>
      <c r="Q37" s="25">
        <f t="shared" si="18"/>
        <v>3108223.7085799575</v>
      </c>
      <c r="R37" s="25">
        <f t="shared" si="18"/>
        <v>1297204.1416079958</v>
      </c>
      <c r="S37" s="25">
        <f t="shared" si="18"/>
        <v>2491492.7749107997</v>
      </c>
      <c r="T37" s="25">
        <f t="shared" si="18"/>
        <v>1430841.6382410801</v>
      </c>
      <c r="U37" s="25">
        <f t="shared" si="18"/>
        <v>1521456.5245741082</v>
      </c>
      <c r="V37" s="25">
        <f t="shared" ref="V37" si="19">SUM(V38:V42)</f>
        <v>1521456.5245741082</v>
      </c>
      <c r="W37" s="6"/>
      <c r="X37" s="70"/>
    </row>
    <row r="38" spans="1:24" outlineLevel="1">
      <c r="A38" s="60" t="str">
        <f>A7</f>
        <v>Inputs</v>
      </c>
      <c r="D38" s="22"/>
      <c r="E38" s="27"/>
      <c r="F38" s="58"/>
      <c r="G38" s="58"/>
      <c r="H38" s="62"/>
      <c r="I38" s="477">
        <f>'Master Assumptions'!B314</f>
        <v>497571.33</v>
      </c>
      <c r="J38" s="28">
        <f>10%*(J24+J31)</f>
        <v>135171.60649999999</v>
      </c>
      <c r="K38" s="28">
        <f t="shared" ref="K38:U38" si="20">10%*(K24+K31)</f>
        <v>98941.630150000012</v>
      </c>
      <c r="L38" s="28">
        <f t="shared" si="20"/>
        <v>103307.22451500001</v>
      </c>
      <c r="M38" s="28">
        <f t="shared" si="20"/>
        <v>132451.96645149999</v>
      </c>
      <c r="N38" s="28">
        <f t="shared" si="20"/>
        <v>122086.21564515001</v>
      </c>
      <c r="O38" s="28">
        <f t="shared" si="20"/>
        <v>129431.00806451502</v>
      </c>
      <c r="P38" s="28">
        <f t="shared" si="20"/>
        <v>109468.09230645151</v>
      </c>
      <c r="Q38" s="28">
        <f t="shared" si="20"/>
        <v>107803.99073064514</v>
      </c>
      <c r="R38" s="28">
        <f t="shared" si="20"/>
        <v>54847.049823064524</v>
      </c>
      <c r="S38" s="28">
        <f t="shared" si="20"/>
        <v>89901.945732306456</v>
      </c>
      <c r="T38" s="28">
        <f t="shared" si="20"/>
        <v>57647.435323230646</v>
      </c>
      <c r="U38" s="28">
        <f t="shared" si="20"/>
        <v>60381.984282323072</v>
      </c>
      <c r="V38" s="28">
        <f>U38</f>
        <v>60381.984282323072</v>
      </c>
      <c r="W38" s="6"/>
      <c r="X38" s="70"/>
    </row>
    <row r="39" spans="1:24" outlineLevel="1">
      <c r="A39" s="60" t="str">
        <f t="shared" ref="A39:A42" si="21">A8</f>
        <v>Output</v>
      </c>
      <c r="D39" s="22"/>
      <c r="E39" s="27"/>
      <c r="F39" s="58"/>
      <c r="G39" s="58"/>
      <c r="H39" s="62"/>
      <c r="I39" s="477">
        <f>'Master Assumptions'!B315</f>
        <v>22964.840000000004</v>
      </c>
      <c r="J39" s="28">
        <f>10%*(J25+J32)</f>
        <v>1886926.7239999999</v>
      </c>
      <c r="K39" s="28">
        <f t="shared" ref="J39:U41" si="22">10%*(K25+K32)</f>
        <v>2073322.9123999998</v>
      </c>
      <c r="L39" s="28">
        <f t="shared" si="22"/>
        <v>2091962.5312399999</v>
      </c>
      <c r="M39" s="28">
        <f t="shared" si="22"/>
        <v>2291074.4931240003</v>
      </c>
      <c r="N39" s="28">
        <f t="shared" si="22"/>
        <v>3290349.6893124003</v>
      </c>
      <c r="O39" s="28">
        <f t="shared" si="22"/>
        <v>3695957.2089312407</v>
      </c>
      <c r="P39" s="28">
        <f t="shared" si="22"/>
        <v>2913673.9608931243</v>
      </c>
      <c r="Q39" s="28">
        <f t="shared" si="22"/>
        <v>2943877.6360893124</v>
      </c>
      <c r="R39" s="28">
        <f t="shared" si="22"/>
        <v>1236702.8836089312</v>
      </c>
      <c r="S39" s="28">
        <f t="shared" si="22"/>
        <v>2401025.4083608934</v>
      </c>
      <c r="T39" s="28">
        <f t="shared" si="22"/>
        <v>1373137.6608360894</v>
      </c>
      <c r="U39" s="28">
        <f t="shared" si="22"/>
        <v>1461068.886083609</v>
      </c>
      <c r="V39" s="28">
        <f t="shared" ref="V39:V42" si="23">U39</f>
        <v>1461068.886083609</v>
      </c>
      <c r="W39" s="6"/>
      <c r="X39" s="70"/>
    </row>
    <row r="40" spans="1:24" outlineLevel="1">
      <c r="A40" s="60" t="str">
        <f t="shared" si="21"/>
        <v>Services</v>
      </c>
      <c r="D40" s="22"/>
      <c r="E40" s="27"/>
      <c r="F40" s="58"/>
      <c r="G40" s="58"/>
      <c r="H40" s="59"/>
      <c r="I40" s="477">
        <f>'Master Assumptions'!B316</f>
        <v>0</v>
      </c>
      <c r="J40" s="28">
        <v>0</v>
      </c>
      <c r="K40" s="28">
        <v>0</v>
      </c>
      <c r="L40" s="28">
        <v>0</v>
      </c>
      <c r="M40" s="28">
        <v>0</v>
      </c>
      <c r="N40" s="28">
        <v>0</v>
      </c>
      <c r="O40" s="28">
        <v>0</v>
      </c>
      <c r="P40" s="28">
        <v>0</v>
      </c>
      <c r="Q40" s="28">
        <v>0</v>
      </c>
      <c r="R40" s="28">
        <v>0</v>
      </c>
      <c r="S40" s="28">
        <v>0</v>
      </c>
      <c r="T40" s="28">
        <v>0</v>
      </c>
      <c r="U40" s="28">
        <v>0</v>
      </c>
      <c r="V40" s="28">
        <f t="shared" si="23"/>
        <v>0</v>
      </c>
      <c r="W40" s="6"/>
      <c r="X40" s="70"/>
    </row>
    <row r="41" spans="1:24" outlineLevel="1">
      <c r="A41" s="60" t="str">
        <f t="shared" si="21"/>
        <v>Processing</v>
      </c>
      <c r="D41" s="22"/>
      <c r="E41" s="27"/>
      <c r="F41" s="58"/>
      <c r="G41" s="58"/>
      <c r="H41" s="59"/>
      <c r="I41" s="477">
        <f>'Master Assumptions'!B317</f>
        <v>0</v>
      </c>
      <c r="J41" s="28">
        <f t="shared" si="22"/>
        <v>0</v>
      </c>
      <c r="K41" s="28">
        <f t="shared" si="22"/>
        <v>0</v>
      </c>
      <c r="L41" s="28">
        <f t="shared" si="22"/>
        <v>114240</v>
      </c>
      <c r="M41" s="28">
        <f t="shared" si="22"/>
        <v>59833.600000000006</v>
      </c>
      <c r="N41" s="28">
        <f t="shared" si="22"/>
        <v>194865.76</v>
      </c>
      <c r="O41" s="28">
        <f t="shared" si="22"/>
        <v>193584.17600000001</v>
      </c>
      <c r="P41" s="28">
        <f t="shared" si="22"/>
        <v>81940.817600000009</v>
      </c>
      <c r="Q41" s="28">
        <f t="shared" si="22"/>
        <v>56542.081760000001</v>
      </c>
      <c r="R41" s="28">
        <f t="shared" si="22"/>
        <v>5654.2081760000001</v>
      </c>
      <c r="S41" s="28">
        <f t="shared" si="22"/>
        <v>565.42081760000008</v>
      </c>
      <c r="T41" s="28">
        <f t="shared" si="22"/>
        <v>56.542081760000009</v>
      </c>
      <c r="U41" s="28">
        <f t="shared" si="22"/>
        <v>5.6542081760000009</v>
      </c>
      <c r="V41" s="28">
        <f t="shared" si="23"/>
        <v>5.6542081760000009</v>
      </c>
      <c r="W41" s="6"/>
      <c r="X41" s="70"/>
    </row>
    <row r="42" spans="1:24" outlineLevel="1">
      <c r="A42" s="60" t="str">
        <f t="shared" si="21"/>
        <v>Others</v>
      </c>
      <c r="D42" s="22"/>
      <c r="E42" s="191"/>
      <c r="F42" s="58"/>
      <c r="G42" s="58"/>
      <c r="H42" s="59"/>
      <c r="I42" s="477">
        <f>'Master Assumptions'!B318</f>
        <v>0</v>
      </c>
      <c r="J42" s="28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28">
        <v>0</v>
      </c>
      <c r="Q42" s="28">
        <v>0</v>
      </c>
      <c r="R42" s="28">
        <v>0</v>
      </c>
      <c r="S42" s="28">
        <v>0</v>
      </c>
      <c r="T42" s="28">
        <v>0</v>
      </c>
      <c r="U42" s="28">
        <v>0</v>
      </c>
      <c r="V42" s="28">
        <f t="shared" si="23"/>
        <v>0</v>
      </c>
      <c r="W42" s="6"/>
      <c r="X42" s="70"/>
    </row>
    <row r="43" spans="1:24" outlineLevel="1">
      <c r="A43" s="60"/>
      <c r="C43" s="41"/>
      <c r="D43" s="69"/>
      <c r="E43" s="27"/>
      <c r="F43" s="58"/>
      <c r="G43" s="58"/>
      <c r="H43" s="169"/>
      <c r="I43" s="23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70"/>
    </row>
    <row r="44" spans="1:24">
      <c r="A44" s="16" t="s">
        <v>24</v>
      </c>
      <c r="D44" s="27"/>
      <c r="E44" s="190"/>
      <c r="F44" s="41"/>
      <c r="H44" s="59"/>
      <c r="I44" s="23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X44" s="70"/>
    </row>
    <row r="45" spans="1:24" ht="16.5" customHeight="1">
      <c r="A45" s="188" t="str">
        <f>A7</f>
        <v>Inputs</v>
      </c>
      <c r="C45" s="68">
        <v>2</v>
      </c>
      <c r="D45" s="245"/>
      <c r="E45" s="246"/>
      <c r="F45" s="247"/>
      <c r="I45" s="100"/>
      <c r="J45" s="28">
        <f>J24+J31-J38</f>
        <v>1216544.4584999999</v>
      </c>
      <c r="K45" s="28">
        <f t="shared" ref="K45:U45" si="24">K24+K31-K38</f>
        <v>890474.67135000008</v>
      </c>
      <c r="L45" s="28">
        <f t="shared" si="24"/>
        <v>929765.02063499996</v>
      </c>
      <c r="M45" s="28">
        <f t="shared" si="24"/>
        <v>1192067.6980634998</v>
      </c>
      <c r="N45" s="28">
        <f t="shared" si="24"/>
        <v>1098775.94080635</v>
      </c>
      <c r="O45" s="28">
        <f t="shared" si="24"/>
        <v>1164879.0725806351</v>
      </c>
      <c r="P45" s="28">
        <f t="shared" si="24"/>
        <v>985212.83075806347</v>
      </c>
      <c r="Q45" s="28">
        <f t="shared" si="24"/>
        <v>970235.91657580622</v>
      </c>
      <c r="R45" s="28">
        <f t="shared" si="24"/>
        <v>493623.44840758067</v>
      </c>
      <c r="S45" s="28">
        <f t="shared" si="24"/>
        <v>809117.51159075799</v>
      </c>
      <c r="T45" s="28">
        <f t="shared" si="24"/>
        <v>518826.9179090758</v>
      </c>
      <c r="U45" s="28">
        <f t="shared" si="24"/>
        <v>543437.85854090762</v>
      </c>
      <c r="V45" s="25">
        <f>SUM(J45:U45)</f>
        <v>10812961.345717678</v>
      </c>
      <c r="W45" s="46">
        <f>V24+V31-V38-V45</f>
        <v>0</v>
      </c>
      <c r="X45" s="70"/>
    </row>
    <row r="46" spans="1:24" ht="16.5" customHeight="1">
      <c r="A46" s="188" t="str">
        <f t="shared" ref="A46:A49" si="25">A8</f>
        <v>Output</v>
      </c>
      <c r="C46" s="68">
        <v>2</v>
      </c>
      <c r="D46" s="245"/>
      <c r="E46" s="246"/>
      <c r="F46" s="247"/>
      <c r="I46" s="100"/>
      <c r="J46" s="28">
        <f>J25+J32-J39</f>
        <v>16982340.515999999</v>
      </c>
      <c r="K46" s="28">
        <f t="shared" ref="K46:U46" si="26">K25+K32-K39</f>
        <v>18659906.211599998</v>
      </c>
      <c r="L46" s="28">
        <f t="shared" si="26"/>
        <v>18827662.781159997</v>
      </c>
      <c r="M46" s="28">
        <f t="shared" si="26"/>
        <v>20619670.438115999</v>
      </c>
      <c r="N46" s="28">
        <f t="shared" si="26"/>
        <v>29613147.203811601</v>
      </c>
      <c r="O46" s="28">
        <f t="shared" si="26"/>
        <v>33263614.880381163</v>
      </c>
      <c r="P46" s="28">
        <f t="shared" si="26"/>
        <v>26223065.648038115</v>
      </c>
      <c r="Q46" s="28">
        <f t="shared" si="26"/>
        <v>26494898.724803809</v>
      </c>
      <c r="R46" s="28">
        <f t="shared" si="26"/>
        <v>11130325.952480379</v>
      </c>
      <c r="S46" s="28">
        <f t="shared" si="26"/>
        <v>21609228.675248038</v>
      </c>
      <c r="T46" s="28">
        <f t="shared" si="26"/>
        <v>12358238.947524803</v>
      </c>
      <c r="U46" s="28">
        <f t="shared" si="26"/>
        <v>13149619.97475248</v>
      </c>
      <c r="V46" s="25">
        <f t="shared" ref="V46:V49" si="27">SUM(J46:U46)</f>
        <v>248931719.95391637</v>
      </c>
      <c r="W46" s="46">
        <f t="shared" ref="W46:W49" si="28">V25+V32-V39-V46</f>
        <v>0</v>
      </c>
      <c r="X46" s="70"/>
    </row>
    <row r="47" spans="1:24" ht="16.5" customHeight="1">
      <c r="A47" s="188" t="str">
        <f t="shared" si="25"/>
        <v>Services</v>
      </c>
      <c r="C47" s="68">
        <v>2</v>
      </c>
      <c r="D47" s="245"/>
      <c r="E47" s="246"/>
      <c r="F47" s="247"/>
      <c r="I47" s="100"/>
      <c r="J47" s="28">
        <f>Services!C49</f>
        <v>0</v>
      </c>
      <c r="K47" s="28">
        <f>Services!D49</f>
        <v>325200</v>
      </c>
      <c r="L47" s="28">
        <f>Services!E49</f>
        <v>650400</v>
      </c>
      <c r="M47" s="28">
        <f>Services!F49</f>
        <v>0</v>
      </c>
      <c r="N47" s="28">
        <f>Services!G49</f>
        <v>325200</v>
      </c>
      <c r="O47" s="28">
        <f>Services!H49</f>
        <v>650400</v>
      </c>
      <c r="P47" s="28">
        <f>Services!I49</f>
        <v>325200</v>
      </c>
      <c r="Q47" s="28">
        <f>Services!J49</f>
        <v>650400</v>
      </c>
      <c r="R47" s="28">
        <f>Services!K49</f>
        <v>0</v>
      </c>
      <c r="S47" s="28">
        <f>Services!L49</f>
        <v>0</v>
      </c>
      <c r="T47" s="28">
        <f>Services!M49</f>
        <v>162600</v>
      </c>
      <c r="U47" s="28">
        <f>Services!N49</f>
        <v>162600</v>
      </c>
      <c r="V47" s="25">
        <f t="shared" si="27"/>
        <v>3252000</v>
      </c>
      <c r="W47" s="46"/>
      <c r="X47" s="70"/>
    </row>
    <row r="48" spans="1:24" ht="16.5" customHeight="1">
      <c r="A48" s="188" t="str">
        <f t="shared" si="25"/>
        <v>Processing</v>
      </c>
      <c r="C48" s="68">
        <v>2</v>
      </c>
      <c r="D48" s="245"/>
      <c r="E48" s="246"/>
      <c r="F48" s="247"/>
      <c r="I48" s="100"/>
      <c r="J48" s="28">
        <f>J27+J34-J41</f>
        <v>0</v>
      </c>
      <c r="K48" s="28">
        <f t="shared" ref="K48:U48" si="29">K27+K34-K41</f>
        <v>0</v>
      </c>
      <c r="L48" s="28">
        <f t="shared" si="29"/>
        <v>1028160</v>
      </c>
      <c r="M48" s="28">
        <f t="shared" si="29"/>
        <v>538502.40000000002</v>
      </c>
      <c r="N48" s="28">
        <f t="shared" si="29"/>
        <v>1753791.84</v>
      </c>
      <c r="O48" s="28">
        <f t="shared" si="29"/>
        <v>1742257.584</v>
      </c>
      <c r="P48" s="28">
        <f t="shared" si="29"/>
        <v>737467.35840000003</v>
      </c>
      <c r="Q48" s="28">
        <f t="shared" si="29"/>
        <v>508878.73583999998</v>
      </c>
      <c r="R48" s="28">
        <f t="shared" si="29"/>
        <v>50887.873584000001</v>
      </c>
      <c r="S48" s="28">
        <f t="shared" si="29"/>
        <v>5088.7873583999999</v>
      </c>
      <c r="T48" s="28">
        <f t="shared" si="29"/>
        <v>508.87873584000005</v>
      </c>
      <c r="U48" s="28">
        <f t="shared" si="29"/>
        <v>50.887873584000005</v>
      </c>
      <c r="V48" s="25">
        <f t="shared" si="27"/>
        <v>6365594.345791826</v>
      </c>
      <c r="W48" s="46">
        <f t="shared" si="28"/>
        <v>0</v>
      </c>
      <c r="X48" s="70"/>
    </row>
    <row r="49" spans="1:24" ht="16.5" customHeight="1">
      <c r="A49" s="188" t="str">
        <f t="shared" si="25"/>
        <v>Others</v>
      </c>
      <c r="C49" s="68">
        <v>2</v>
      </c>
      <c r="D49" s="245"/>
      <c r="E49" s="246"/>
      <c r="F49" s="247"/>
      <c r="I49" s="100"/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28">
        <v>0</v>
      </c>
      <c r="Q49" s="28">
        <v>0</v>
      </c>
      <c r="R49" s="28">
        <v>0</v>
      </c>
      <c r="S49" s="28">
        <v>0</v>
      </c>
      <c r="T49" s="28">
        <v>0</v>
      </c>
      <c r="U49" s="28">
        <v>0</v>
      </c>
      <c r="V49" s="25">
        <f t="shared" si="27"/>
        <v>0</v>
      </c>
      <c r="W49" s="46">
        <f t="shared" si="28"/>
        <v>0</v>
      </c>
      <c r="X49" s="70"/>
    </row>
    <row r="50" spans="1:24">
      <c r="A50" s="192" t="s">
        <v>24</v>
      </c>
      <c r="B50" s="14"/>
      <c r="C50" s="14"/>
      <c r="D50" s="14"/>
      <c r="E50" s="14"/>
      <c r="F50" s="14"/>
      <c r="G50" s="14"/>
      <c r="H50" s="14"/>
      <c r="I50" s="31"/>
      <c r="J50" s="32">
        <f>SUM(J45:J49)</f>
        <v>18198884.9745</v>
      </c>
      <c r="K50" s="32">
        <f t="shared" ref="K50:V50" si="30">SUM(K45:K49)</f>
        <v>19875580.882949997</v>
      </c>
      <c r="L50" s="32">
        <f t="shared" si="30"/>
        <v>21435987.801794998</v>
      </c>
      <c r="M50" s="32">
        <f t="shared" si="30"/>
        <v>22350240.536179498</v>
      </c>
      <c r="N50" s="32">
        <f t="shared" si="30"/>
        <v>32790914.984617952</v>
      </c>
      <c r="O50" s="32">
        <f t="shared" si="30"/>
        <v>36821151.536961794</v>
      </c>
      <c r="P50" s="32">
        <f t="shared" si="30"/>
        <v>28270945.837196179</v>
      </c>
      <c r="Q50" s="32">
        <f t="shared" si="30"/>
        <v>28624413.377219617</v>
      </c>
      <c r="R50" s="32">
        <f t="shared" si="30"/>
        <v>11674837.274471961</v>
      </c>
      <c r="S50" s="32">
        <f t="shared" si="30"/>
        <v>22423434.974197194</v>
      </c>
      <c r="T50" s="32">
        <f t="shared" si="30"/>
        <v>13040174.74416972</v>
      </c>
      <c r="U50" s="32">
        <f t="shared" si="30"/>
        <v>13855708.721166972</v>
      </c>
      <c r="V50" s="32">
        <f t="shared" si="30"/>
        <v>269362275.64542586</v>
      </c>
      <c r="W50" s="46"/>
      <c r="X50" s="70"/>
    </row>
    <row r="51" spans="1:24" ht="10.5" customHeight="1">
      <c r="A51" s="168"/>
      <c r="I51" s="6"/>
      <c r="J51" s="167"/>
      <c r="K51" s="167"/>
      <c r="L51" s="167"/>
      <c r="M51" s="167"/>
      <c r="N51" s="167"/>
      <c r="O51" s="167"/>
      <c r="P51" s="167"/>
      <c r="Q51" s="167"/>
      <c r="R51" s="167"/>
      <c r="S51" s="167"/>
      <c r="T51" s="167"/>
      <c r="U51" s="167"/>
      <c r="V51" s="167"/>
      <c r="X51" s="70"/>
    </row>
    <row r="52" spans="1:24" ht="14.25" customHeight="1">
      <c r="A52" s="16" t="s">
        <v>29</v>
      </c>
      <c r="I52" s="6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X52" s="70"/>
    </row>
    <row r="53" spans="1:24" ht="14.25" customHeight="1">
      <c r="A53" s="29" t="s">
        <v>320</v>
      </c>
      <c r="I53" s="6"/>
      <c r="J53" s="28">
        <f>'Master Assumptions'!O262</f>
        <v>11900</v>
      </c>
      <c r="K53" s="28">
        <f>'Master Assumptions'!O262</f>
        <v>11900</v>
      </c>
      <c r="L53" s="28">
        <f>'Master Assumptions'!O262</f>
        <v>11900</v>
      </c>
      <c r="M53" s="28">
        <f>'Master Assumptions'!P262</f>
        <v>11900</v>
      </c>
      <c r="N53" s="28">
        <f>'Master Assumptions'!P262</f>
        <v>11900</v>
      </c>
      <c r="O53" s="28">
        <f>'Master Assumptions'!P262</f>
        <v>11900</v>
      </c>
      <c r="P53" s="28">
        <f>'Master Assumptions'!Q262</f>
        <v>11900</v>
      </c>
      <c r="Q53" s="28">
        <f>'Master Assumptions'!Q262</f>
        <v>11900</v>
      </c>
      <c r="R53" s="28">
        <f>'Master Assumptions'!Q262</f>
        <v>11900</v>
      </c>
      <c r="S53" s="28">
        <f>'Master Assumptions'!R262</f>
        <v>11900</v>
      </c>
      <c r="T53" s="28">
        <f>'Master Assumptions'!R262</f>
        <v>11900</v>
      </c>
      <c r="U53" s="28">
        <f>'Master Assumptions'!R262</f>
        <v>11900</v>
      </c>
      <c r="V53" s="25">
        <f>SUM(J53:U53)</f>
        <v>142800</v>
      </c>
      <c r="W53" s="46">
        <f t="shared" ref="W53:W56" si="31">SUM(J53:V53)/2-V53</f>
        <v>0</v>
      </c>
      <c r="X53" s="70"/>
    </row>
    <row r="54" spans="1:24" ht="14.25" customHeight="1">
      <c r="A54" s="29" t="s">
        <v>438</v>
      </c>
      <c r="I54" s="6"/>
      <c r="J54" s="28">
        <f>Output!C87</f>
        <v>565261.12</v>
      </c>
      <c r="K54" s="28">
        <f>Output!D87</f>
        <v>565261.12</v>
      </c>
      <c r="L54" s="28">
        <f>Output!E87</f>
        <v>565261.12</v>
      </c>
      <c r="M54" s="28">
        <f>Output!F87</f>
        <v>604710.72</v>
      </c>
      <c r="N54" s="28">
        <f>Output!G87</f>
        <v>976731.52000000014</v>
      </c>
      <c r="O54" s="28">
        <f>Output!H87</f>
        <v>1013481.12</v>
      </c>
      <c r="P54" s="28">
        <f>Output!I87</f>
        <v>798325.12</v>
      </c>
      <c r="Q54" s="28">
        <f>Output!J87</f>
        <v>795625.12</v>
      </c>
      <c r="R54" s="28">
        <f>Output!K87</f>
        <v>282630.56</v>
      </c>
      <c r="S54" s="28">
        <f>Output!L87</f>
        <v>549638.56000000006</v>
      </c>
      <c r="T54" s="28">
        <f>Output!M87</f>
        <v>320774.56</v>
      </c>
      <c r="U54" s="28">
        <f>Output!N87</f>
        <v>358918.56</v>
      </c>
      <c r="V54" s="25">
        <f>SUM(J54:U54)</f>
        <v>7396619.1999999993</v>
      </c>
      <c r="W54" s="46"/>
      <c r="X54" s="70"/>
    </row>
    <row r="55" spans="1:24" ht="14.25" customHeight="1">
      <c r="A55" s="29" t="s">
        <v>321</v>
      </c>
      <c r="I55" s="6"/>
      <c r="J55" s="28">
        <f>'Master Assumptions'!O263</f>
        <v>3500</v>
      </c>
      <c r="K55" s="28">
        <f>'Master Assumptions'!O263</f>
        <v>3500</v>
      </c>
      <c r="L55" s="28">
        <f>'Master Assumptions'!O263</f>
        <v>3500</v>
      </c>
      <c r="M55" s="28">
        <f>'Master Assumptions'!P263</f>
        <v>3500</v>
      </c>
      <c r="N55" s="28">
        <f>'Master Assumptions'!P263</f>
        <v>3500</v>
      </c>
      <c r="O55" s="28">
        <f>'Master Assumptions'!P263</f>
        <v>3500</v>
      </c>
      <c r="P55" s="28">
        <f>'Master Assumptions'!Q263</f>
        <v>3500</v>
      </c>
      <c r="Q55" s="28">
        <f>'Master Assumptions'!Q263</f>
        <v>3500</v>
      </c>
      <c r="R55" s="28">
        <f>'Master Assumptions'!Q263</f>
        <v>3500</v>
      </c>
      <c r="S55" s="28">
        <f>'Master Assumptions'!R263</f>
        <v>3500</v>
      </c>
      <c r="T55" s="28">
        <f>'Master Assumptions'!R263</f>
        <v>3500</v>
      </c>
      <c r="U55" s="28">
        <f>'Master Assumptions'!R263</f>
        <v>3500</v>
      </c>
      <c r="V55" s="25">
        <f t="shared" ref="V55:V57" si="32">SUM(J55:U55)</f>
        <v>42000</v>
      </c>
      <c r="W55" s="46">
        <f t="shared" si="31"/>
        <v>0</v>
      </c>
      <c r="X55" s="70"/>
    </row>
    <row r="56" spans="1:24" ht="14.25" customHeight="1" thickBot="1">
      <c r="A56" s="29" t="s">
        <v>322</v>
      </c>
      <c r="I56" s="6"/>
      <c r="J56" s="28">
        <f>'Master Assumptions'!O264</f>
        <v>4305</v>
      </c>
      <c r="K56" s="28">
        <f>'Master Assumptions'!O264</f>
        <v>4305</v>
      </c>
      <c r="L56" s="28">
        <f>'Master Assumptions'!O264</f>
        <v>4305</v>
      </c>
      <c r="M56" s="28">
        <f>'Master Assumptions'!P264</f>
        <v>4305</v>
      </c>
      <c r="N56" s="28">
        <f>'Master Assumptions'!P264</f>
        <v>4305</v>
      </c>
      <c r="O56" s="28">
        <f>'Master Assumptions'!P264</f>
        <v>4305</v>
      </c>
      <c r="P56" s="28">
        <f>'Master Assumptions'!Q264</f>
        <v>4305</v>
      </c>
      <c r="Q56" s="28">
        <f>'Master Assumptions'!Q264</f>
        <v>4305</v>
      </c>
      <c r="R56" s="28">
        <f>'Master Assumptions'!Q264</f>
        <v>4305</v>
      </c>
      <c r="S56" s="289">
        <f>'Master Assumptions'!R264</f>
        <v>4305</v>
      </c>
      <c r="T56" s="28">
        <f>'Master Assumptions'!R264</f>
        <v>4305</v>
      </c>
      <c r="U56" s="28">
        <f>'Master Assumptions'!R264</f>
        <v>4305</v>
      </c>
      <c r="V56" s="25">
        <f t="shared" si="32"/>
        <v>51660</v>
      </c>
      <c r="W56" s="46">
        <f t="shared" si="31"/>
        <v>0</v>
      </c>
      <c r="X56" s="70"/>
    </row>
    <row r="57" spans="1:24" ht="14.25" customHeight="1" thickBot="1">
      <c r="A57" s="29" t="s">
        <v>410</v>
      </c>
      <c r="I57" s="6"/>
      <c r="J57" s="28">
        <f>Processing!H124</f>
        <v>65850</v>
      </c>
      <c r="K57" s="28">
        <f>Processing!I124</f>
        <v>47850</v>
      </c>
      <c r="L57" s="28">
        <f>Processing!J124</f>
        <v>349068.33333333331</v>
      </c>
      <c r="M57" s="28">
        <f>Processing!K124</f>
        <v>233080.73333333331</v>
      </c>
      <c r="N57" s="28">
        <f>Processing!L124</f>
        <v>417960.93333333329</v>
      </c>
      <c r="O57" s="28">
        <f>Processing!M124</f>
        <v>384853.73333333334</v>
      </c>
      <c r="P57" s="28">
        <f>Processing!N124</f>
        <v>248592.93333333335</v>
      </c>
      <c r="Q57" s="28">
        <f>Processing!O124</f>
        <v>228453.33333333334</v>
      </c>
      <c r="R57" s="28">
        <f>Processing!P124</f>
        <v>47850</v>
      </c>
      <c r="S57" s="28">
        <f>Processing!Q124</f>
        <v>47850</v>
      </c>
      <c r="T57" s="28">
        <f>Processing!R124</f>
        <v>47850</v>
      </c>
      <c r="U57" s="28">
        <f>Processing!S124</f>
        <v>47850</v>
      </c>
      <c r="V57" s="25">
        <f t="shared" si="32"/>
        <v>2167110</v>
      </c>
      <c r="W57" s="46"/>
      <c r="X57" s="70"/>
    </row>
    <row r="58" spans="1:24" ht="14.25" customHeight="1">
      <c r="A58" s="12" t="s">
        <v>30</v>
      </c>
      <c r="B58" s="13"/>
      <c r="C58" s="13"/>
      <c r="D58" s="13"/>
      <c r="E58" s="13"/>
      <c r="F58" s="13"/>
      <c r="G58" s="13"/>
      <c r="H58" s="13"/>
      <c r="I58" s="20"/>
      <c r="J58" s="19">
        <f>SUM(J50,J53:J57)</f>
        <v>18849701.094500002</v>
      </c>
      <c r="K58" s="19">
        <f t="shared" ref="K58:U58" si="33">SUM(K50,K53:K57)</f>
        <v>20508397.002949998</v>
      </c>
      <c r="L58" s="19">
        <f t="shared" si="33"/>
        <v>22370022.255128331</v>
      </c>
      <c r="M58" s="19">
        <f t="shared" si="33"/>
        <v>23207736.989512831</v>
      </c>
      <c r="N58" s="19">
        <f t="shared" si="33"/>
        <v>34205312.437951282</v>
      </c>
      <c r="O58" s="19">
        <f t="shared" si="33"/>
        <v>38239191.390295126</v>
      </c>
      <c r="P58" s="19">
        <f t="shared" si="33"/>
        <v>29337568.890529513</v>
      </c>
      <c r="Q58" s="19">
        <f t="shared" si="33"/>
        <v>29668196.830552951</v>
      </c>
      <c r="R58" s="19">
        <f t="shared" si="33"/>
        <v>12025022.834471961</v>
      </c>
      <c r="S58" s="19">
        <f t="shared" si="33"/>
        <v>23040628.534197193</v>
      </c>
      <c r="T58" s="19">
        <f t="shared" si="33"/>
        <v>13428504.30416972</v>
      </c>
      <c r="U58" s="19">
        <f t="shared" si="33"/>
        <v>14282182.281166973</v>
      </c>
      <c r="V58" s="19">
        <f t="shared" ref="V58" si="34">SUM(V50,V53:V56)</f>
        <v>276995354.84542584</v>
      </c>
      <c r="W58" s="46"/>
      <c r="X58" s="70"/>
    </row>
    <row r="59" spans="1:24" ht="12" customHeight="1">
      <c r="A59" s="33"/>
      <c r="B59" s="34"/>
      <c r="C59" s="34"/>
      <c r="D59" s="34"/>
      <c r="E59" s="34"/>
      <c r="F59" s="34"/>
      <c r="G59" s="34"/>
      <c r="H59" s="34"/>
      <c r="I59" s="35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X59" s="70"/>
    </row>
    <row r="60" spans="1:24">
      <c r="A60" s="18" t="s">
        <v>31</v>
      </c>
      <c r="I60" s="25"/>
      <c r="J60" s="25">
        <f>J13-J58</f>
        <v>2932401.159893062</v>
      </c>
      <c r="K60" s="25">
        <f t="shared" ref="K60:V60" si="35">K13-K58</f>
        <v>3279868.4432397224</v>
      </c>
      <c r="L60" s="25">
        <f t="shared" si="35"/>
        <v>3381627.733024992</v>
      </c>
      <c r="M60" s="25">
        <f t="shared" si="35"/>
        <v>2240971.5186807625</v>
      </c>
      <c r="N60" s="25">
        <f t="shared" si="35"/>
        <v>3282520.7233623937</v>
      </c>
      <c r="O60" s="25">
        <f t="shared" si="35"/>
        <v>3821591.8990697861</v>
      </c>
      <c r="P60" s="25">
        <f t="shared" si="35"/>
        <v>3766782.7653366737</v>
      </c>
      <c r="Q60" s="25">
        <f t="shared" si="35"/>
        <v>3818781.0870120041</v>
      </c>
      <c r="R60" s="25">
        <f t="shared" si="35"/>
        <v>1615400.8337398078</v>
      </c>
      <c r="S60" s="25">
        <f t="shared" si="35"/>
        <v>3145971.7609373219</v>
      </c>
      <c r="T60" s="25">
        <f t="shared" si="35"/>
        <v>1799166.6907414608</v>
      </c>
      <c r="U60" s="25">
        <f t="shared" si="35"/>
        <v>1897788.4442078117</v>
      </c>
      <c r="V60" s="25">
        <f t="shared" si="35"/>
        <v>37149983.059245825</v>
      </c>
      <c r="W60" s="46"/>
      <c r="X60" s="70"/>
    </row>
    <row r="61" spans="1:24" s="198" customFormat="1" ht="13.5" thickBot="1">
      <c r="A61" s="193" t="s">
        <v>343</v>
      </c>
      <c r="B61" s="194"/>
      <c r="C61" s="194"/>
      <c r="D61" s="194"/>
      <c r="E61" s="194"/>
      <c r="F61" s="194"/>
      <c r="G61" s="194"/>
      <c r="H61" s="194"/>
      <c r="I61" s="195"/>
      <c r="J61" s="195">
        <f>IFERROR(J60/J13,0)</f>
        <v>0.13462434092199016</v>
      </c>
      <c r="K61" s="195">
        <f t="shared" ref="K61:V61" si="36">IFERROR(K60/K13,0)</f>
        <v>0.13787757878601756</v>
      </c>
      <c r="L61" s="195">
        <f t="shared" si="36"/>
        <v>0.13131693443257661</v>
      </c>
      <c r="M61" s="195">
        <f t="shared" si="36"/>
        <v>8.8058359345003626E-2</v>
      </c>
      <c r="N61" s="195">
        <f t="shared" si="36"/>
        <v>8.7562295458299716E-2</v>
      </c>
      <c r="O61" s="195">
        <f t="shared" si="36"/>
        <v>9.0858790545540732E-2</v>
      </c>
      <c r="P61" s="195">
        <f t="shared" si="36"/>
        <v>0.11378512421853122</v>
      </c>
      <c r="Q61" s="195">
        <f t="shared" si="36"/>
        <v>0.11403779392732048</v>
      </c>
      <c r="R61" s="195">
        <f t="shared" si="36"/>
        <v>0.11842746772627066</v>
      </c>
      <c r="S61" s="195">
        <f t="shared" si="36"/>
        <v>0.12013670065914762</v>
      </c>
      <c r="T61" s="195">
        <f t="shared" si="36"/>
        <v>0.11815114020671386</v>
      </c>
      <c r="U61" s="195">
        <f t="shared" si="36"/>
        <v>0.1172924522806176</v>
      </c>
      <c r="V61" s="195">
        <f t="shared" si="36"/>
        <v>0.11825731143117933</v>
      </c>
      <c r="W61" s="196"/>
      <c r="X61" s="197"/>
    </row>
    <row r="62" spans="1:24" ht="9" customHeight="1">
      <c r="I62" s="6"/>
      <c r="J62" s="24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X62" s="70"/>
    </row>
    <row r="63" spans="1:24">
      <c r="A63" s="1" t="s">
        <v>32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X63" s="70"/>
    </row>
    <row r="64" spans="1:24">
      <c r="A64" s="38" t="s">
        <v>290</v>
      </c>
      <c r="D64" s="1"/>
      <c r="E64" s="63"/>
      <c r="I64" s="64"/>
      <c r="J64" s="37">
        <f>'Master Assumptions'!O265</f>
        <v>315</v>
      </c>
      <c r="K64" s="37">
        <f>'Master Assumptions'!O265</f>
        <v>315</v>
      </c>
      <c r="L64" s="37">
        <f>'Master Assumptions'!O265</f>
        <v>315</v>
      </c>
      <c r="M64" s="37">
        <f>'Master Assumptions'!P265</f>
        <v>315</v>
      </c>
      <c r="N64" s="37">
        <f>'Master Assumptions'!P265</f>
        <v>315</v>
      </c>
      <c r="O64" s="37">
        <f>'Master Assumptions'!P265</f>
        <v>315</v>
      </c>
      <c r="P64" s="37">
        <f>'Master Assumptions'!Q265</f>
        <v>315</v>
      </c>
      <c r="Q64" s="37">
        <f>'Master Assumptions'!Q265</f>
        <v>315</v>
      </c>
      <c r="R64" s="37">
        <f>'Master Assumptions'!Q265</f>
        <v>315</v>
      </c>
      <c r="S64" s="37">
        <f>'Master Assumptions'!R265</f>
        <v>315</v>
      </c>
      <c r="T64" s="37">
        <f>'Master Assumptions'!R265</f>
        <v>315</v>
      </c>
      <c r="U64" s="37">
        <f>'Master Assumptions'!R265</f>
        <v>315</v>
      </c>
      <c r="V64" s="39">
        <f>SUM(J64:U64)</f>
        <v>3780</v>
      </c>
      <c r="W64" s="46">
        <f t="shared" ref="W64:W88" si="37">SUM(J64:V64)/2-V64</f>
        <v>0</v>
      </c>
      <c r="X64" s="70"/>
    </row>
    <row r="65" spans="1:24">
      <c r="A65" s="38" t="s">
        <v>291</v>
      </c>
      <c r="I65" s="6"/>
      <c r="J65" s="37">
        <f>'Master Assumptions'!O266</f>
        <v>315</v>
      </c>
      <c r="K65" s="37">
        <f>'Master Assumptions'!O266</f>
        <v>315</v>
      </c>
      <c r="L65" s="37">
        <f>'Master Assumptions'!O266</f>
        <v>315</v>
      </c>
      <c r="M65" s="37">
        <f>'Master Assumptions'!P266</f>
        <v>315</v>
      </c>
      <c r="N65" s="37">
        <f>'Master Assumptions'!P266</f>
        <v>315</v>
      </c>
      <c r="O65" s="37">
        <f>'Master Assumptions'!P266</f>
        <v>315</v>
      </c>
      <c r="P65" s="37">
        <f>'Master Assumptions'!Q266</f>
        <v>315</v>
      </c>
      <c r="Q65" s="37">
        <f>'Master Assumptions'!Q266</f>
        <v>315</v>
      </c>
      <c r="R65" s="37">
        <f>'Master Assumptions'!Q266</f>
        <v>315</v>
      </c>
      <c r="S65" s="37">
        <f>'Master Assumptions'!R266</f>
        <v>315</v>
      </c>
      <c r="T65" s="37">
        <f>'Master Assumptions'!R266</f>
        <v>315</v>
      </c>
      <c r="U65" s="37">
        <f>'Master Assumptions'!R266</f>
        <v>315</v>
      </c>
      <c r="V65" s="39">
        <f t="shared" ref="V65:V81" si="38">SUM(J65:U65)</f>
        <v>3780</v>
      </c>
      <c r="W65" s="46">
        <f t="shared" si="37"/>
        <v>0</v>
      </c>
      <c r="X65" s="70"/>
    </row>
    <row r="66" spans="1:24">
      <c r="A66" s="5" t="s">
        <v>292</v>
      </c>
      <c r="I66" s="6"/>
      <c r="J66" s="37">
        <f>'Master Assumptions'!O267</f>
        <v>315</v>
      </c>
      <c r="K66" s="37">
        <f>'Master Assumptions'!O267</f>
        <v>315</v>
      </c>
      <c r="L66" s="37">
        <f>'Master Assumptions'!O267</f>
        <v>315</v>
      </c>
      <c r="M66" s="37">
        <f>'Master Assumptions'!P267</f>
        <v>315</v>
      </c>
      <c r="N66" s="37">
        <f>'Master Assumptions'!P267</f>
        <v>315</v>
      </c>
      <c r="O66" s="37">
        <f>'Master Assumptions'!P267</f>
        <v>315</v>
      </c>
      <c r="P66" s="37">
        <f>'Master Assumptions'!Q267</f>
        <v>315</v>
      </c>
      <c r="Q66" s="37">
        <f>'Master Assumptions'!Q267</f>
        <v>315</v>
      </c>
      <c r="R66" s="37">
        <f>'Master Assumptions'!Q267</f>
        <v>315</v>
      </c>
      <c r="S66" s="37">
        <f>'Master Assumptions'!R267</f>
        <v>315</v>
      </c>
      <c r="T66" s="37">
        <f>'Master Assumptions'!R267</f>
        <v>315</v>
      </c>
      <c r="U66" s="37">
        <f>'Master Assumptions'!R267</f>
        <v>315</v>
      </c>
      <c r="V66" s="39">
        <f t="shared" si="38"/>
        <v>3780</v>
      </c>
      <c r="W66" s="46">
        <f t="shared" si="37"/>
        <v>0</v>
      </c>
      <c r="X66" s="70"/>
    </row>
    <row r="67" spans="1:24">
      <c r="A67" s="5" t="s">
        <v>293</v>
      </c>
      <c r="I67" s="6"/>
      <c r="J67" s="37">
        <f>'Master Assumptions'!O268</f>
        <v>315</v>
      </c>
      <c r="K67" s="37">
        <f>'Master Assumptions'!O268</f>
        <v>315</v>
      </c>
      <c r="L67" s="37">
        <f>'Master Assumptions'!O268</f>
        <v>315</v>
      </c>
      <c r="M67" s="37">
        <f>'Master Assumptions'!P268</f>
        <v>315</v>
      </c>
      <c r="N67" s="37">
        <f>'Master Assumptions'!P268</f>
        <v>315</v>
      </c>
      <c r="O67" s="37">
        <f>'Master Assumptions'!P268</f>
        <v>315</v>
      </c>
      <c r="P67" s="37">
        <f>'Master Assumptions'!Q268</f>
        <v>315</v>
      </c>
      <c r="Q67" s="37">
        <f>'Master Assumptions'!Q268</f>
        <v>315</v>
      </c>
      <c r="R67" s="37">
        <f>'Master Assumptions'!Q268</f>
        <v>315</v>
      </c>
      <c r="S67" s="37">
        <f>'Master Assumptions'!R268</f>
        <v>315</v>
      </c>
      <c r="T67" s="37">
        <f>'Master Assumptions'!R268</f>
        <v>315</v>
      </c>
      <c r="U67" s="37">
        <f>'Master Assumptions'!R268</f>
        <v>315</v>
      </c>
      <c r="V67" s="39">
        <f t="shared" si="38"/>
        <v>3780</v>
      </c>
      <c r="W67" s="46">
        <f t="shared" si="37"/>
        <v>0</v>
      </c>
      <c r="X67" s="70"/>
    </row>
    <row r="68" spans="1:24">
      <c r="A68" s="5" t="s">
        <v>294</v>
      </c>
      <c r="I68" s="6"/>
      <c r="J68" s="37">
        <f>'Master Assumptions'!O269</f>
        <v>315</v>
      </c>
      <c r="K68" s="37">
        <f>'Master Assumptions'!O269</f>
        <v>315</v>
      </c>
      <c r="L68" s="37">
        <f>'Master Assumptions'!O269</f>
        <v>315</v>
      </c>
      <c r="M68" s="37">
        <f>'Master Assumptions'!P269</f>
        <v>315</v>
      </c>
      <c r="N68" s="37">
        <f>'Master Assumptions'!P269</f>
        <v>315</v>
      </c>
      <c r="O68" s="37">
        <f>'Master Assumptions'!P269</f>
        <v>315</v>
      </c>
      <c r="P68" s="37">
        <f>'Master Assumptions'!Q269</f>
        <v>315</v>
      </c>
      <c r="Q68" s="37">
        <f>'Master Assumptions'!Q269</f>
        <v>315</v>
      </c>
      <c r="R68" s="37">
        <f>'Master Assumptions'!Q269</f>
        <v>315</v>
      </c>
      <c r="S68" s="37">
        <f>'Master Assumptions'!R269</f>
        <v>315</v>
      </c>
      <c r="T68" s="37">
        <f>'Master Assumptions'!R269</f>
        <v>315</v>
      </c>
      <c r="U68" s="37">
        <f>'Master Assumptions'!R269</f>
        <v>315</v>
      </c>
      <c r="V68" s="39">
        <f t="shared" si="38"/>
        <v>3780</v>
      </c>
      <c r="W68" s="46"/>
      <c r="X68" s="70"/>
    </row>
    <row r="69" spans="1:24">
      <c r="A69" s="5" t="s">
        <v>295</v>
      </c>
      <c r="I69" s="6"/>
      <c r="J69" s="37">
        <f>'Master Assumptions'!O270</f>
        <v>315</v>
      </c>
      <c r="K69" s="37">
        <f>'Master Assumptions'!O270</f>
        <v>315</v>
      </c>
      <c r="L69" s="37">
        <f>'Master Assumptions'!O270</f>
        <v>315</v>
      </c>
      <c r="M69" s="37">
        <f>'Master Assumptions'!P270</f>
        <v>315</v>
      </c>
      <c r="N69" s="37">
        <f>'Master Assumptions'!P270</f>
        <v>315</v>
      </c>
      <c r="O69" s="37">
        <f>'Master Assumptions'!P270</f>
        <v>315</v>
      </c>
      <c r="P69" s="37">
        <f>'Master Assumptions'!Q270</f>
        <v>315</v>
      </c>
      <c r="Q69" s="37">
        <f>'Master Assumptions'!Q270</f>
        <v>315</v>
      </c>
      <c r="R69" s="37">
        <f>'Master Assumptions'!Q270</f>
        <v>315</v>
      </c>
      <c r="S69" s="37">
        <f>'Master Assumptions'!R270</f>
        <v>315</v>
      </c>
      <c r="T69" s="37">
        <f>'Master Assumptions'!R270</f>
        <v>315</v>
      </c>
      <c r="U69" s="37">
        <f>'Master Assumptions'!R270</f>
        <v>315</v>
      </c>
      <c r="V69" s="39">
        <f t="shared" si="38"/>
        <v>3780</v>
      </c>
      <c r="W69" s="46"/>
      <c r="X69" s="70"/>
    </row>
    <row r="70" spans="1:24">
      <c r="A70" s="5" t="s">
        <v>327</v>
      </c>
      <c r="I70" s="6"/>
      <c r="J70" s="37">
        <f>'Master Assumptions'!O271</f>
        <v>315</v>
      </c>
      <c r="K70" s="37">
        <f>'Master Assumptions'!O271</f>
        <v>315</v>
      </c>
      <c r="L70" s="37">
        <f>'Master Assumptions'!O271</f>
        <v>315</v>
      </c>
      <c r="M70" s="37">
        <f>'Master Assumptions'!P271</f>
        <v>315</v>
      </c>
      <c r="N70" s="37">
        <f>'Master Assumptions'!P271</f>
        <v>315</v>
      </c>
      <c r="O70" s="37">
        <f>'Master Assumptions'!P271</f>
        <v>315</v>
      </c>
      <c r="P70" s="37">
        <f>'Master Assumptions'!Q271</f>
        <v>315</v>
      </c>
      <c r="Q70" s="37">
        <f>'Master Assumptions'!Q271</f>
        <v>315</v>
      </c>
      <c r="R70" s="37">
        <f>'Master Assumptions'!Q271</f>
        <v>315</v>
      </c>
      <c r="S70" s="37">
        <f>'Master Assumptions'!R271</f>
        <v>315</v>
      </c>
      <c r="T70" s="37">
        <f>'Master Assumptions'!R271</f>
        <v>315</v>
      </c>
      <c r="U70" s="37">
        <f>'Master Assumptions'!R271</f>
        <v>315</v>
      </c>
      <c r="V70" s="39"/>
      <c r="W70" s="46"/>
      <c r="X70" s="70"/>
    </row>
    <row r="71" spans="1:24">
      <c r="A71" s="5" t="s">
        <v>296</v>
      </c>
      <c r="I71" s="6"/>
      <c r="J71" s="37">
        <f>'Master Assumptions'!O272</f>
        <v>315</v>
      </c>
      <c r="K71" s="37">
        <f>'Master Assumptions'!O272</f>
        <v>315</v>
      </c>
      <c r="L71" s="37">
        <f>'Master Assumptions'!O272</f>
        <v>315</v>
      </c>
      <c r="M71" s="37">
        <f>'Master Assumptions'!P272</f>
        <v>315</v>
      </c>
      <c r="N71" s="37">
        <f>'Master Assumptions'!P272</f>
        <v>315</v>
      </c>
      <c r="O71" s="37">
        <f>'Master Assumptions'!P272</f>
        <v>315</v>
      </c>
      <c r="P71" s="37">
        <f>'Master Assumptions'!Q272</f>
        <v>315</v>
      </c>
      <c r="Q71" s="37">
        <f>'Master Assumptions'!Q272</f>
        <v>315</v>
      </c>
      <c r="R71" s="37">
        <f>'Master Assumptions'!Q272</f>
        <v>315</v>
      </c>
      <c r="S71" s="37">
        <f>'Master Assumptions'!R272</f>
        <v>315</v>
      </c>
      <c r="T71" s="37">
        <f>'Master Assumptions'!R272</f>
        <v>315</v>
      </c>
      <c r="U71" s="37">
        <f>'Master Assumptions'!R272</f>
        <v>315</v>
      </c>
      <c r="V71" s="39">
        <f t="shared" si="38"/>
        <v>3780</v>
      </c>
      <c r="W71" s="46"/>
      <c r="X71" s="70"/>
    </row>
    <row r="72" spans="1:24">
      <c r="A72" s="5" t="s">
        <v>297</v>
      </c>
      <c r="I72" s="6"/>
      <c r="J72" s="37">
        <f>'Master Assumptions'!O273</f>
        <v>315</v>
      </c>
      <c r="K72" s="37">
        <f>'Master Assumptions'!O273</f>
        <v>315</v>
      </c>
      <c r="L72" s="37">
        <f>'Master Assumptions'!O273</f>
        <v>315</v>
      </c>
      <c r="M72" s="37">
        <f>'Master Assumptions'!P273</f>
        <v>315</v>
      </c>
      <c r="N72" s="37">
        <f>'Master Assumptions'!P273</f>
        <v>315</v>
      </c>
      <c r="O72" s="37">
        <f>'Master Assumptions'!P273</f>
        <v>315</v>
      </c>
      <c r="P72" s="37">
        <f>'Master Assumptions'!Q273</f>
        <v>315</v>
      </c>
      <c r="Q72" s="37">
        <f>'Master Assumptions'!Q273</f>
        <v>315</v>
      </c>
      <c r="R72" s="37">
        <f>'Master Assumptions'!Q273</f>
        <v>315</v>
      </c>
      <c r="S72" s="37">
        <f>'Master Assumptions'!R273</f>
        <v>315</v>
      </c>
      <c r="T72" s="37">
        <f>'Master Assumptions'!R273</f>
        <v>315</v>
      </c>
      <c r="U72" s="37">
        <f>'Master Assumptions'!R273</f>
        <v>315</v>
      </c>
      <c r="V72" s="39">
        <f t="shared" si="38"/>
        <v>3780</v>
      </c>
      <c r="W72" s="46"/>
      <c r="X72" s="70"/>
    </row>
    <row r="73" spans="1:24">
      <c r="A73" s="5" t="s">
        <v>328</v>
      </c>
      <c r="I73" s="6"/>
      <c r="J73" s="37">
        <f>'Master Assumptions'!O274</f>
        <v>315</v>
      </c>
      <c r="K73" s="37">
        <f>'Master Assumptions'!O274</f>
        <v>315</v>
      </c>
      <c r="L73" s="37">
        <f>'Master Assumptions'!O274</f>
        <v>315</v>
      </c>
      <c r="M73" s="37">
        <f>'Master Assumptions'!P274</f>
        <v>315</v>
      </c>
      <c r="N73" s="37">
        <f>'Master Assumptions'!P274</f>
        <v>315</v>
      </c>
      <c r="O73" s="37">
        <f>'Master Assumptions'!P274</f>
        <v>315</v>
      </c>
      <c r="P73" s="37">
        <f>'Master Assumptions'!Q274</f>
        <v>315</v>
      </c>
      <c r="Q73" s="37">
        <f>'Master Assumptions'!Q274</f>
        <v>315</v>
      </c>
      <c r="R73" s="37">
        <f>'Master Assumptions'!Q274</f>
        <v>315</v>
      </c>
      <c r="S73" s="37">
        <f>'Master Assumptions'!R274</f>
        <v>315</v>
      </c>
      <c r="T73" s="37">
        <f>'Master Assumptions'!R274</f>
        <v>315</v>
      </c>
      <c r="U73" s="37">
        <f>'Master Assumptions'!R274</f>
        <v>315</v>
      </c>
      <c r="V73" s="39"/>
      <c r="W73" s="46"/>
      <c r="X73" s="70"/>
    </row>
    <row r="74" spans="1:24">
      <c r="A74" s="5" t="s">
        <v>251</v>
      </c>
      <c r="I74" s="6"/>
      <c r="J74" s="37">
        <f>'Master Assumptions'!O275</f>
        <v>315</v>
      </c>
      <c r="K74" s="37">
        <f>'Master Assumptions'!O275</f>
        <v>315</v>
      </c>
      <c r="L74" s="37">
        <f>'Master Assumptions'!O275</f>
        <v>315</v>
      </c>
      <c r="M74" s="37">
        <f>'Master Assumptions'!P275</f>
        <v>315</v>
      </c>
      <c r="N74" s="37">
        <f>'Master Assumptions'!P275</f>
        <v>315</v>
      </c>
      <c r="O74" s="37">
        <f>'Master Assumptions'!P275</f>
        <v>315</v>
      </c>
      <c r="P74" s="37">
        <f>'Master Assumptions'!Q275</f>
        <v>315</v>
      </c>
      <c r="Q74" s="37">
        <f>'Master Assumptions'!Q275</f>
        <v>315</v>
      </c>
      <c r="R74" s="37">
        <f>'Master Assumptions'!Q275</f>
        <v>315</v>
      </c>
      <c r="S74" s="37">
        <f>'Master Assumptions'!R275</f>
        <v>315</v>
      </c>
      <c r="T74" s="37">
        <f>'Master Assumptions'!R275</f>
        <v>315</v>
      </c>
      <c r="U74" s="37">
        <f>'Master Assumptions'!R275</f>
        <v>315</v>
      </c>
      <c r="V74" s="39">
        <f t="shared" si="38"/>
        <v>3780</v>
      </c>
      <c r="W74" s="46"/>
      <c r="X74" s="70"/>
    </row>
    <row r="75" spans="1:24">
      <c r="A75" s="5" t="s">
        <v>298</v>
      </c>
      <c r="I75" s="6"/>
      <c r="J75" s="37">
        <f>'Master Assumptions'!O276</f>
        <v>315</v>
      </c>
      <c r="K75" s="37">
        <f>'Master Assumptions'!O276</f>
        <v>315</v>
      </c>
      <c r="L75" s="37">
        <f>'Master Assumptions'!O276</f>
        <v>315</v>
      </c>
      <c r="M75" s="37">
        <f>'Master Assumptions'!P276</f>
        <v>315</v>
      </c>
      <c r="N75" s="37">
        <f>'Master Assumptions'!P276</f>
        <v>315</v>
      </c>
      <c r="O75" s="37">
        <f>'Master Assumptions'!P276</f>
        <v>315</v>
      </c>
      <c r="P75" s="37">
        <f>'Master Assumptions'!Q276</f>
        <v>315</v>
      </c>
      <c r="Q75" s="37">
        <f>'Master Assumptions'!Q276</f>
        <v>315</v>
      </c>
      <c r="R75" s="37">
        <f>'Master Assumptions'!Q276</f>
        <v>315</v>
      </c>
      <c r="S75" s="37">
        <f>'Master Assumptions'!R276</f>
        <v>315</v>
      </c>
      <c r="T75" s="37">
        <f>'Master Assumptions'!R276</f>
        <v>315</v>
      </c>
      <c r="U75" s="37">
        <f>'Master Assumptions'!R276</f>
        <v>315</v>
      </c>
      <c r="V75" s="39">
        <f t="shared" si="38"/>
        <v>3780</v>
      </c>
      <c r="W75" s="46"/>
      <c r="X75" s="70"/>
    </row>
    <row r="76" spans="1:24">
      <c r="A76" s="5" t="s">
        <v>299</v>
      </c>
      <c r="I76" s="6"/>
      <c r="J76" s="37">
        <f>'Master Assumptions'!O277</f>
        <v>315</v>
      </c>
      <c r="K76" s="37">
        <f>'Master Assumptions'!O277</f>
        <v>315</v>
      </c>
      <c r="L76" s="37">
        <f>'Master Assumptions'!O277</f>
        <v>315</v>
      </c>
      <c r="M76" s="37">
        <f>'Master Assumptions'!P277</f>
        <v>315</v>
      </c>
      <c r="N76" s="37">
        <f>'Master Assumptions'!P277</f>
        <v>315</v>
      </c>
      <c r="O76" s="37">
        <f>'Master Assumptions'!P277</f>
        <v>315</v>
      </c>
      <c r="P76" s="37">
        <f>'Master Assumptions'!Q277</f>
        <v>315</v>
      </c>
      <c r="Q76" s="37">
        <f>'Master Assumptions'!Q277</f>
        <v>315</v>
      </c>
      <c r="R76" s="37">
        <f>'Master Assumptions'!Q277</f>
        <v>315</v>
      </c>
      <c r="S76" s="37">
        <f>'Master Assumptions'!R277</f>
        <v>315</v>
      </c>
      <c r="T76" s="37">
        <f>'Master Assumptions'!R277</f>
        <v>315</v>
      </c>
      <c r="U76" s="37">
        <f>'Master Assumptions'!R277</f>
        <v>315</v>
      </c>
      <c r="V76" s="39">
        <f t="shared" si="38"/>
        <v>3780</v>
      </c>
      <c r="W76" s="46"/>
      <c r="X76" s="70"/>
    </row>
    <row r="77" spans="1:24">
      <c r="A77" s="5" t="s">
        <v>300</v>
      </c>
      <c r="I77" s="6"/>
      <c r="J77" s="37">
        <f>'Master Assumptions'!O278</f>
        <v>315</v>
      </c>
      <c r="K77" s="37">
        <f>'Master Assumptions'!O278</f>
        <v>315</v>
      </c>
      <c r="L77" s="37">
        <f>'Master Assumptions'!O278</f>
        <v>315</v>
      </c>
      <c r="M77" s="37">
        <f>'Master Assumptions'!P278</f>
        <v>315</v>
      </c>
      <c r="N77" s="37">
        <f>'Master Assumptions'!P278</f>
        <v>315</v>
      </c>
      <c r="O77" s="37">
        <f>'Master Assumptions'!P278</f>
        <v>315</v>
      </c>
      <c r="P77" s="37">
        <f>'Master Assumptions'!Q278</f>
        <v>315</v>
      </c>
      <c r="Q77" s="37">
        <f>'Master Assumptions'!Q278</f>
        <v>315</v>
      </c>
      <c r="R77" s="37">
        <f>'Master Assumptions'!Q278</f>
        <v>315</v>
      </c>
      <c r="S77" s="37">
        <f>'Master Assumptions'!R278</f>
        <v>315</v>
      </c>
      <c r="T77" s="37">
        <f>'Master Assumptions'!R278</f>
        <v>315</v>
      </c>
      <c r="U77" s="37">
        <f>'Master Assumptions'!R278</f>
        <v>315</v>
      </c>
      <c r="V77" s="39">
        <f t="shared" si="38"/>
        <v>3780</v>
      </c>
      <c r="W77" s="46"/>
      <c r="X77" s="70"/>
    </row>
    <row r="78" spans="1:24">
      <c r="A78" s="5" t="s">
        <v>301</v>
      </c>
      <c r="I78" s="6"/>
      <c r="J78" s="37">
        <f>'Master Assumptions'!O279</f>
        <v>315</v>
      </c>
      <c r="K78" s="37">
        <f>'Master Assumptions'!O279</f>
        <v>315</v>
      </c>
      <c r="L78" s="37">
        <f>'Master Assumptions'!O279</f>
        <v>315</v>
      </c>
      <c r="M78" s="37">
        <f>'Master Assumptions'!P279</f>
        <v>315</v>
      </c>
      <c r="N78" s="37">
        <f>'Master Assumptions'!P279</f>
        <v>315</v>
      </c>
      <c r="O78" s="37">
        <f>'Master Assumptions'!P279</f>
        <v>315</v>
      </c>
      <c r="P78" s="37">
        <f>'Master Assumptions'!Q279</f>
        <v>315</v>
      </c>
      <c r="Q78" s="37">
        <f>'Master Assumptions'!Q279</f>
        <v>315</v>
      </c>
      <c r="R78" s="37">
        <f>'Master Assumptions'!Q279</f>
        <v>315</v>
      </c>
      <c r="S78" s="37">
        <f>'Master Assumptions'!R279</f>
        <v>315</v>
      </c>
      <c r="T78" s="37">
        <f>'Master Assumptions'!R279</f>
        <v>315</v>
      </c>
      <c r="U78" s="37">
        <f>'Master Assumptions'!R279</f>
        <v>315</v>
      </c>
      <c r="V78" s="39">
        <f t="shared" si="38"/>
        <v>3780</v>
      </c>
      <c r="W78" s="46"/>
      <c r="X78" s="70"/>
    </row>
    <row r="79" spans="1:24">
      <c r="A79" s="5" t="s">
        <v>303</v>
      </c>
      <c r="I79" s="6"/>
      <c r="J79" s="37">
        <f>'Master Assumptions'!O280</f>
        <v>315</v>
      </c>
      <c r="K79" s="37">
        <f>'Master Assumptions'!O280</f>
        <v>315</v>
      </c>
      <c r="L79" s="37">
        <f>'Master Assumptions'!O280</f>
        <v>315</v>
      </c>
      <c r="M79" s="37">
        <f>'Master Assumptions'!P280</f>
        <v>315</v>
      </c>
      <c r="N79" s="37">
        <f>'Master Assumptions'!P280</f>
        <v>315</v>
      </c>
      <c r="O79" s="37">
        <f>'Master Assumptions'!P280</f>
        <v>315</v>
      </c>
      <c r="P79" s="37">
        <f>'Master Assumptions'!Q280</f>
        <v>315</v>
      </c>
      <c r="Q79" s="37">
        <f>'Master Assumptions'!Q280</f>
        <v>315</v>
      </c>
      <c r="R79" s="37">
        <f>'Master Assumptions'!Q280</f>
        <v>315</v>
      </c>
      <c r="S79" s="37">
        <f>'Master Assumptions'!R280</f>
        <v>315</v>
      </c>
      <c r="T79" s="37">
        <f>'Master Assumptions'!R280</f>
        <v>315</v>
      </c>
      <c r="U79" s="37">
        <f>'Master Assumptions'!R280</f>
        <v>315</v>
      </c>
      <c r="V79" s="39">
        <f t="shared" si="38"/>
        <v>3780</v>
      </c>
      <c r="W79" s="46"/>
      <c r="X79" s="70"/>
    </row>
    <row r="80" spans="1:24">
      <c r="A80" s="5" t="s">
        <v>302</v>
      </c>
      <c r="I80" s="6"/>
      <c r="J80" s="37">
        <f>'Master Assumptions'!O281</f>
        <v>315</v>
      </c>
      <c r="K80" s="37">
        <f>'Master Assumptions'!O281</f>
        <v>315</v>
      </c>
      <c r="L80" s="37">
        <f>'Master Assumptions'!O281</f>
        <v>315</v>
      </c>
      <c r="M80" s="37">
        <f>'Master Assumptions'!P281</f>
        <v>315</v>
      </c>
      <c r="N80" s="37">
        <f>'Master Assumptions'!P281</f>
        <v>315</v>
      </c>
      <c r="O80" s="37">
        <f>'Master Assumptions'!P281</f>
        <v>315</v>
      </c>
      <c r="P80" s="37">
        <f>'Master Assumptions'!Q281</f>
        <v>315</v>
      </c>
      <c r="Q80" s="37">
        <f>'Master Assumptions'!Q281</f>
        <v>315</v>
      </c>
      <c r="R80" s="37">
        <f>'Master Assumptions'!Q281</f>
        <v>315</v>
      </c>
      <c r="S80" s="37">
        <f>'Master Assumptions'!R281</f>
        <v>315</v>
      </c>
      <c r="T80" s="37">
        <f>'Master Assumptions'!R281</f>
        <v>315</v>
      </c>
      <c r="U80" s="37">
        <f>'Master Assumptions'!R281</f>
        <v>315</v>
      </c>
      <c r="V80" s="39">
        <f t="shared" si="38"/>
        <v>3780</v>
      </c>
      <c r="W80" s="46"/>
      <c r="X80" s="70"/>
    </row>
    <row r="81" spans="1:25">
      <c r="A81" s="5" t="s">
        <v>289</v>
      </c>
      <c r="I81" s="6"/>
      <c r="J81" s="37">
        <f>'Master Assumptions'!$I$80</f>
        <v>34000</v>
      </c>
      <c r="K81" s="37">
        <f>'Master Assumptions'!$I$80</f>
        <v>34000</v>
      </c>
      <c r="L81" s="37">
        <f>'Master Assumptions'!$I$80</f>
        <v>34000</v>
      </c>
      <c r="M81" s="37">
        <f>'Master Assumptions'!$I$80</f>
        <v>34000</v>
      </c>
      <c r="N81" s="37">
        <f>'Master Assumptions'!$I$80</f>
        <v>34000</v>
      </c>
      <c r="O81" s="37">
        <f>'Master Assumptions'!$I$80</f>
        <v>34000</v>
      </c>
      <c r="P81" s="37">
        <f>'Master Assumptions'!$I$80</f>
        <v>34000</v>
      </c>
      <c r="Q81" s="37">
        <f>'Master Assumptions'!$I$80</f>
        <v>34000</v>
      </c>
      <c r="R81" s="37">
        <f>'Master Assumptions'!$I$80</f>
        <v>34000</v>
      </c>
      <c r="S81" s="37">
        <f>'Master Assumptions'!$I$80</f>
        <v>34000</v>
      </c>
      <c r="T81" s="37">
        <f>'Master Assumptions'!$I$80</f>
        <v>34000</v>
      </c>
      <c r="U81" s="37">
        <f>'Master Assumptions'!$I$80</f>
        <v>34000</v>
      </c>
      <c r="V81" s="39">
        <f t="shared" si="38"/>
        <v>408000</v>
      </c>
      <c r="W81" s="46"/>
      <c r="X81" s="70"/>
    </row>
    <row r="82" spans="1:25">
      <c r="A82" s="5"/>
      <c r="I82" s="6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9"/>
      <c r="W82" s="46"/>
      <c r="X82" s="70"/>
    </row>
    <row r="83" spans="1:25">
      <c r="A83" s="5"/>
      <c r="I83" s="6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9"/>
      <c r="W83" s="46"/>
      <c r="X83" s="70"/>
    </row>
    <row r="84" spans="1:25">
      <c r="A84" s="155" t="s">
        <v>33</v>
      </c>
      <c r="B84" s="84"/>
      <c r="C84" s="84"/>
      <c r="D84" s="84"/>
      <c r="E84" s="84"/>
      <c r="F84" s="84"/>
      <c r="G84" s="84"/>
      <c r="H84" s="84"/>
      <c r="I84" s="84"/>
      <c r="J84" s="153">
        <f ca="1">J200</f>
        <v>0</v>
      </c>
      <c r="K84" s="153">
        <f ca="1">K200</f>
        <v>0</v>
      </c>
      <c r="L84" s="153">
        <f t="shared" ref="L84:U84" ca="1" si="39">L200</f>
        <v>0</v>
      </c>
      <c r="M84" s="153">
        <f t="shared" ca="1" si="39"/>
        <v>0</v>
      </c>
      <c r="N84" s="153">
        <f t="shared" ca="1" si="39"/>
        <v>0</v>
      </c>
      <c r="O84" s="153">
        <f t="shared" ca="1" si="39"/>
        <v>0</v>
      </c>
      <c r="P84" s="153">
        <f t="shared" ca="1" si="39"/>
        <v>0</v>
      </c>
      <c r="Q84" s="153">
        <f t="shared" ca="1" si="39"/>
        <v>0</v>
      </c>
      <c r="R84" s="153">
        <f t="shared" ca="1" si="39"/>
        <v>0</v>
      </c>
      <c r="S84" s="153">
        <f t="shared" ca="1" si="39"/>
        <v>0</v>
      </c>
      <c r="T84" s="153">
        <f t="shared" ca="1" si="39"/>
        <v>0</v>
      </c>
      <c r="U84" s="153">
        <f t="shared" ca="1" si="39"/>
        <v>0</v>
      </c>
      <c r="V84" s="153">
        <f ca="1">SUM(J84:U84)</f>
        <v>0</v>
      </c>
      <c r="W84" s="46">
        <f t="shared" ca="1" si="37"/>
        <v>0</v>
      </c>
      <c r="X84" s="70"/>
      <c r="Y84" s="202">
        <f ca="1">V84+V171</f>
        <v>0</v>
      </c>
    </row>
    <row r="85" spans="1:25">
      <c r="A85" s="156" t="s">
        <v>34</v>
      </c>
      <c r="B85" s="110"/>
      <c r="C85" s="110"/>
      <c r="D85" s="110"/>
      <c r="E85" s="111"/>
      <c r="F85" s="112"/>
      <c r="G85" s="112"/>
      <c r="H85" s="113"/>
      <c r="I85" s="36"/>
      <c r="J85" s="154">
        <f>-J191</f>
        <v>150</v>
      </c>
      <c r="K85" s="154">
        <f t="shared" ref="K85:U85" si="40">-K191</f>
        <v>146.10046132824365</v>
      </c>
      <c r="L85" s="154">
        <f t="shared" si="40"/>
        <v>142.18629938646825</v>
      </c>
      <c r="M85" s="154">
        <f t="shared" si="40"/>
        <v>138.25745933741118</v>
      </c>
      <c r="N85" s="154">
        <f t="shared" si="40"/>
        <v>134.31388613817012</v>
      </c>
      <c r="O85" s="154">
        <f t="shared" si="40"/>
        <v>130.35552453943191</v>
      </c>
      <c r="P85" s="154">
        <f t="shared" si="40"/>
        <v>126.38231908469845</v>
      </c>
      <c r="Q85" s="154">
        <f t="shared" si="40"/>
        <v>122.39421410950973</v>
      </c>
      <c r="R85" s="154">
        <f t="shared" si="40"/>
        <v>118.39115374066405</v>
      </c>
      <c r="S85" s="154">
        <f t="shared" si="40"/>
        <v>114.37308189543522</v>
      </c>
      <c r="T85" s="154">
        <f t="shared" si="40"/>
        <v>110.33994228078676</v>
      </c>
      <c r="U85" s="154">
        <f t="shared" si="40"/>
        <v>106.29167839258336</v>
      </c>
      <c r="V85" s="154">
        <f>SUM(J85:U85)</f>
        <v>1539.3860202334029</v>
      </c>
      <c r="W85" s="46">
        <f t="shared" si="37"/>
        <v>0</v>
      </c>
      <c r="X85" s="70"/>
      <c r="Y85" s="202">
        <f>V85+V191</f>
        <v>0</v>
      </c>
    </row>
    <row r="86" spans="1:25">
      <c r="A86" s="156" t="s">
        <v>35</v>
      </c>
      <c r="B86" s="110"/>
      <c r="C86" s="110"/>
      <c r="D86" s="110"/>
      <c r="E86" s="111"/>
      <c r="F86" s="112"/>
      <c r="G86" s="112"/>
      <c r="H86" s="113"/>
      <c r="I86" s="36"/>
      <c r="J86" s="154">
        <f>J223</f>
        <v>1347.2222222222224</v>
      </c>
      <c r="K86" s="154">
        <f t="shared" ref="K86:U86" si="41">K223</f>
        <v>1347.2222222222224</v>
      </c>
      <c r="L86" s="154">
        <f t="shared" si="41"/>
        <v>1372.2222222222224</v>
      </c>
      <c r="M86" s="154">
        <f t="shared" si="41"/>
        <v>1386.1111111111113</v>
      </c>
      <c r="N86" s="154">
        <f t="shared" si="41"/>
        <v>1393.0555555555557</v>
      </c>
      <c r="O86" s="154">
        <f t="shared" si="41"/>
        <v>1393.0555555555557</v>
      </c>
      <c r="P86" s="154">
        <f t="shared" si="41"/>
        <v>1393.0555555555557</v>
      </c>
      <c r="Q86" s="154">
        <f t="shared" si="41"/>
        <v>1393.0555555555557</v>
      </c>
      <c r="R86" s="154">
        <f t="shared" si="41"/>
        <v>1393.0555555555557</v>
      </c>
      <c r="S86" s="154">
        <f t="shared" si="41"/>
        <v>1401.3888888888889</v>
      </c>
      <c r="T86" s="154">
        <f t="shared" si="41"/>
        <v>1411.1111111111111</v>
      </c>
      <c r="U86" s="154">
        <f t="shared" si="41"/>
        <v>1411.1111111111111</v>
      </c>
      <c r="V86" s="154">
        <f>SUM(J86:U86)</f>
        <v>16641.666666666664</v>
      </c>
      <c r="W86" s="46">
        <f t="shared" ref="W86" si="42">SUM(J86:V86)/2-V86</f>
        <v>0</v>
      </c>
      <c r="X86" s="70"/>
      <c r="Y86" s="202">
        <f>V86-V223</f>
        <v>0</v>
      </c>
    </row>
    <row r="87" spans="1:25" ht="13.5" thickBot="1">
      <c r="I87" s="6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X87" s="70"/>
    </row>
    <row r="88" spans="1:25">
      <c r="A88" s="12" t="s">
        <v>58</v>
      </c>
      <c r="B88" s="13"/>
      <c r="C88" s="13"/>
      <c r="D88" s="13"/>
      <c r="E88" s="13"/>
      <c r="F88" s="13"/>
      <c r="G88" s="13"/>
      <c r="H88" s="13"/>
      <c r="I88" s="20"/>
      <c r="J88" s="19">
        <f t="shared" ref="J88:V88" ca="1" si="43">SUM(J64:J67,J84:J86)</f>
        <v>2757.2222222222226</v>
      </c>
      <c r="K88" s="19">
        <f t="shared" ca="1" si="43"/>
        <v>2753.3226835504661</v>
      </c>
      <c r="L88" s="19">
        <f t="shared" ca="1" si="43"/>
        <v>2774.4085216086905</v>
      </c>
      <c r="M88" s="19">
        <f t="shared" ca="1" si="43"/>
        <v>2784.3685704485224</v>
      </c>
      <c r="N88" s="19">
        <f t="shared" ca="1" si="43"/>
        <v>2787.369441693726</v>
      </c>
      <c r="O88" s="19">
        <f t="shared" ca="1" si="43"/>
        <v>2783.4110800949875</v>
      </c>
      <c r="P88" s="19">
        <f t="shared" ca="1" si="43"/>
        <v>2779.437874640254</v>
      </c>
      <c r="Q88" s="19">
        <f t="shared" ca="1" si="43"/>
        <v>2775.4497696650651</v>
      </c>
      <c r="R88" s="19">
        <f t="shared" ca="1" si="43"/>
        <v>2771.4467092962195</v>
      </c>
      <c r="S88" s="19">
        <f t="shared" ca="1" si="43"/>
        <v>2775.7619707843241</v>
      </c>
      <c r="T88" s="19">
        <f t="shared" ca="1" si="43"/>
        <v>2781.4510533918979</v>
      </c>
      <c r="U88" s="19">
        <f t="shared" ca="1" si="43"/>
        <v>2777.4027895036943</v>
      </c>
      <c r="V88" s="19">
        <f t="shared" ca="1" si="43"/>
        <v>33301.052686900068</v>
      </c>
      <c r="W88" s="46">
        <f t="shared" ca="1" si="37"/>
        <v>0</v>
      </c>
      <c r="X88" s="70"/>
    </row>
    <row r="89" spans="1:25" ht="4.9000000000000004" customHeight="1"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X89" s="70"/>
    </row>
    <row r="90" spans="1:25" ht="12" customHeight="1">
      <c r="A90" s="1" t="s">
        <v>59</v>
      </c>
      <c r="I90" s="6"/>
      <c r="J90" s="39">
        <f t="shared" ref="J90:V90" ca="1" si="44">J60-J88</f>
        <v>2929643.93767084</v>
      </c>
      <c r="K90" s="39">
        <f t="shared" ca="1" si="44"/>
        <v>3277115.120556172</v>
      </c>
      <c r="L90" s="39">
        <f t="shared" ca="1" si="44"/>
        <v>3378853.3245033831</v>
      </c>
      <c r="M90" s="39">
        <f t="shared" ca="1" si="44"/>
        <v>2238187.1501103141</v>
      </c>
      <c r="N90" s="39">
        <f t="shared" ca="1" si="44"/>
        <v>3279733.3539207</v>
      </c>
      <c r="O90" s="39">
        <f t="shared" ca="1" si="44"/>
        <v>3818808.4879896911</v>
      </c>
      <c r="P90" s="39">
        <f t="shared" ca="1" si="44"/>
        <v>3764003.3274620334</v>
      </c>
      <c r="Q90" s="39">
        <f t="shared" ca="1" si="44"/>
        <v>3816005.6372423391</v>
      </c>
      <c r="R90" s="39">
        <f t="shared" ca="1" si="44"/>
        <v>1612629.3870305116</v>
      </c>
      <c r="S90" s="39">
        <f t="shared" ca="1" si="44"/>
        <v>3143195.9989665374</v>
      </c>
      <c r="T90" s="39">
        <f t="shared" ca="1" si="44"/>
        <v>1796385.2396880689</v>
      </c>
      <c r="U90" s="39">
        <f t="shared" ca="1" si="44"/>
        <v>1895011.0414183079</v>
      </c>
      <c r="V90" s="39">
        <f t="shared" ca="1" si="44"/>
        <v>37116682.006558925</v>
      </c>
      <c r="W90" s="46"/>
      <c r="X90" s="70"/>
    </row>
    <row r="91" spans="1:25" ht="13.5" thickBot="1">
      <c r="A91" s="75" t="s">
        <v>344</v>
      </c>
      <c r="B91" s="76"/>
      <c r="C91" s="76"/>
      <c r="D91" s="76"/>
      <c r="E91" s="76"/>
      <c r="F91" s="76"/>
      <c r="G91" s="76"/>
      <c r="H91" s="76"/>
      <c r="I91" s="77"/>
      <c r="J91" s="78">
        <f t="shared" ref="J91:V91" ca="1" si="45">IFERROR(J90/J13,0)</f>
        <v>0.13449775891488999</v>
      </c>
      <c r="K91" s="78">
        <f t="shared" ca="1" si="45"/>
        <v>0.13776183589211979</v>
      </c>
      <c r="L91" s="78">
        <f t="shared" ca="1" si="45"/>
        <v>0.13120919731581379</v>
      </c>
      <c r="M91" s="78">
        <f t="shared" ca="1" si="45"/>
        <v>8.794894834799559E-2</v>
      </c>
      <c r="N91" s="78">
        <f t="shared" ca="1" si="45"/>
        <v>8.748794148244575E-2</v>
      </c>
      <c r="O91" s="78">
        <f t="shared" ca="1" si="45"/>
        <v>9.0792614624351953E-2</v>
      </c>
      <c r="P91" s="78">
        <f t="shared" ca="1" si="45"/>
        <v>0.1137011643239671</v>
      </c>
      <c r="Q91" s="78">
        <f t="shared" ca="1" si="45"/>
        <v>0.1139549124628749</v>
      </c>
      <c r="R91" s="78">
        <f t="shared" ca="1" si="45"/>
        <v>0.11822428879453742</v>
      </c>
      <c r="S91" s="78">
        <f t="shared" ca="1" si="45"/>
        <v>0.12003070133355742</v>
      </c>
      <c r="T91" s="78">
        <f t="shared" ca="1" si="45"/>
        <v>0.11796848252686765</v>
      </c>
      <c r="U91" s="78">
        <f t="shared" ca="1" si="45"/>
        <v>0.11712079543174903</v>
      </c>
      <c r="V91" s="78">
        <f t="shared" ca="1" si="45"/>
        <v>0.11815130618880007</v>
      </c>
      <c r="X91" s="70"/>
    </row>
    <row r="92" spans="1:25" ht="13.5" thickTop="1"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X92" s="70"/>
    </row>
    <row r="93" spans="1:25">
      <c r="A93" s="79" t="s">
        <v>62</v>
      </c>
      <c r="B93" s="80"/>
      <c r="C93" s="80"/>
      <c r="D93" s="80"/>
      <c r="E93" s="80"/>
      <c r="F93" s="80"/>
      <c r="G93" s="80"/>
      <c r="H93" s="80"/>
      <c r="I93" s="81"/>
      <c r="J93" s="82"/>
      <c r="K93" s="82"/>
      <c r="L93" s="82"/>
      <c r="M93" s="82"/>
      <c r="N93" s="82"/>
      <c r="O93" s="82"/>
      <c r="P93" s="82"/>
      <c r="Q93" s="82"/>
      <c r="R93" s="82"/>
      <c r="S93" s="82"/>
      <c r="T93" s="82"/>
      <c r="U93" s="82"/>
      <c r="V93" s="83"/>
      <c r="X93" s="70"/>
    </row>
    <row r="94" spans="1:25">
      <c r="A94" s="1" t="s">
        <v>64</v>
      </c>
      <c r="F94" s="21"/>
      <c r="G94" s="21"/>
      <c r="I94" s="6"/>
      <c r="J94" s="9">
        <f>SUM(J101:J105)</f>
        <v>19603892.028953757</v>
      </c>
      <c r="K94" s="9">
        <f t="shared" ref="K94:V94" si="46">SUM(K101:K105)</f>
        <v>21409438.901570749</v>
      </c>
      <c r="L94" s="9">
        <f t="shared" si="46"/>
        <v>23176484.989337988</v>
      </c>
      <c r="M94" s="9">
        <f t="shared" si="46"/>
        <v>22903837.657374233</v>
      </c>
      <c r="N94" s="9">
        <f t="shared" si="46"/>
        <v>33739049.845182315</v>
      </c>
      <c r="O94" s="9">
        <f t="shared" si="46"/>
        <v>37854704.960428432</v>
      </c>
      <c r="P94" s="9">
        <f t="shared" si="46"/>
        <v>29793916.49027957</v>
      </c>
      <c r="Q94" s="9">
        <f t="shared" si="46"/>
        <v>30138280.125808463</v>
      </c>
      <c r="R94" s="9">
        <f t="shared" si="46"/>
        <v>12276381.301390592</v>
      </c>
      <c r="S94" s="9">
        <f t="shared" si="46"/>
        <v>23567940.265621062</v>
      </c>
      <c r="T94" s="9">
        <f t="shared" si="46"/>
        <v>13704903.895420063</v>
      </c>
      <c r="U94" s="9">
        <f t="shared" si="46"/>
        <v>14561973.652837304</v>
      </c>
      <c r="V94" s="9">
        <f t="shared" si="46"/>
        <v>282730804.11420441</v>
      </c>
      <c r="W94" s="46">
        <f t="shared" ref="W94" si="47">SUM(J94:V94)/2-V94</f>
        <v>0</v>
      </c>
      <c r="X94" s="70"/>
    </row>
    <row r="95" spans="1:25" outlineLevel="1">
      <c r="A95" s="1"/>
      <c r="E95" s="41"/>
      <c r="F95" s="21"/>
      <c r="G95" s="21"/>
      <c r="H95" s="1196" t="s">
        <v>18</v>
      </c>
      <c r="I95" s="170" t="str">
        <f>A101</f>
        <v>Inputs</v>
      </c>
      <c r="J95" s="474">
        <f>'Master Assumptions'!B321</f>
        <v>0.9</v>
      </c>
      <c r="K95" s="474">
        <f>'Master Assumptions'!C321</f>
        <v>0.9</v>
      </c>
      <c r="L95" s="474">
        <f>'Master Assumptions'!D321</f>
        <v>0.9</v>
      </c>
      <c r="M95" s="474">
        <f>'Master Assumptions'!E321</f>
        <v>0.9</v>
      </c>
      <c r="N95" s="474">
        <f>'Master Assumptions'!F321</f>
        <v>0.9</v>
      </c>
      <c r="O95" s="474">
        <f>'Master Assumptions'!G321</f>
        <v>0.9</v>
      </c>
      <c r="P95" s="474">
        <f>'Master Assumptions'!H321</f>
        <v>0.9</v>
      </c>
      <c r="Q95" s="474">
        <f>'Master Assumptions'!I321</f>
        <v>0.9</v>
      </c>
      <c r="R95" s="474">
        <f>'Master Assumptions'!J321</f>
        <v>0.9</v>
      </c>
      <c r="S95" s="474">
        <f>'Master Assumptions'!K321</f>
        <v>0.9</v>
      </c>
      <c r="T95" s="474">
        <f>'Master Assumptions'!L321</f>
        <v>0.9</v>
      </c>
      <c r="U95" s="474">
        <f>'Master Assumptions'!M321</f>
        <v>0.9</v>
      </c>
      <c r="V95" s="171"/>
      <c r="W95" s="46"/>
      <c r="X95" s="70"/>
    </row>
    <row r="96" spans="1:25" outlineLevel="1">
      <c r="A96" s="1"/>
      <c r="E96" s="41"/>
      <c r="F96" s="21"/>
      <c r="G96" s="21"/>
      <c r="H96" s="1196"/>
      <c r="I96" s="173" t="str">
        <f>A102</f>
        <v>Output</v>
      </c>
      <c r="J96" s="475">
        <f>'Master Assumptions'!B322</f>
        <v>0.9</v>
      </c>
      <c r="K96" s="475">
        <f>'Master Assumptions'!C322</f>
        <v>0.9</v>
      </c>
      <c r="L96" s="475">
        <f>'Master Assumptions'!D322</f>
        <v>0.9</v>
      </c>
      <c r="M96" s="475">
        <f>'Master Assumptions'!E322</f>
        <v>0.9</v>
      </c>
      <c r="N96" s="475">
        <f>'Master Assumptions'!F322</f>
        <v>0.9</v>
      </c>
      <c r="O96" s="475">
        <f>'Master Assumptions'!G322</f>
        <v>0.9</v>
      </c>
      <c r="P96" s="475">
        <f>'Master Assumptions'!H322</f>
        <v>0.9</v>
      </c>
      <c r="Q96" s="475">
        <f>'Master Assumptions'!I322</f>
        <v>0.9</v>
      </c>
      <c r="R96" s="475">
        <f>'Master Assumptions'!J322</f>
        <v>0.9</v>
      </c>
      <c r="S96" s="475">
        <f>'Master Assumptions'!K322</f>
        <v>0.9</v>
      </c>
      <c r="T96" s="475">
        <f>'Master Assumptions'!L322</f>
        <v>0.9</v>
      </c>
      <c r="U96" s="475">
        <f>'Master Assumptions'!M322</f>
        <v>0.9</v>
      </c>
      <c r="V96" s="174"/>
      <c r="W96" s="46"/>
      <c r="X96" s="70"/>
    </row>
    <row r="97" spans="1:24" outlineLevel="1">
      <c r="A97" s="1"/>
      <c r="E97" s="41"/>
      <c r="F97" s="21"/>
      <c r="G97" s="21"/>
      <c r="H97" s="1196"/>
      <c r="I97" s="173" t="str">
        <f>A103</f>
        <v>Services</v>
      </c>
      <c r="J97" s="475">
        <f>'Master Assumptions'!B323</f>
        <v>0.9</v>
      </c>
      <c r="K97" s="475">
        <f>'Master Assumptions'!C323</f>
        <v>0.9</v>
      </c>
      <c r="L97" s="475">
        <f>'Master Assumptions'!D323</f>
        <v>0.9</v>
      </c>
      <c r="M97" s="475">
        <f>'Master Assumptions'!E323</f>
        <v>0.9</v>
      </c>
      <c r="N97" s="475">
        <f>'Master Assumptions'!F323</f>
        <v>0.9</v>
      </c>
      <c r="O97" s="475">
        <f>'Master Assumptions'!G323</f>
        <v>0.9</v>
      </c>
      <c r="P97" s="475">
        <f>'Master Assumptions'!H323</f>
        <v>0.9</v>
      </c>
      <c r="Q97" s="475">
        <f>'Master Assumptions'!I323</f>
        <v>0.9</v>
      </c>
      <c r="R97" s="475">
        <f>'Master Assumptions'!J323</f>
        <v>0.9</v>
      </c>
      <c r="S97" s="475">
        <f>'Master Assumptions'!K323</f>
        <v>0.9</v>
      </c>
      <c r="T97" s="475">
        <f>'Master Assumptions'!L323</f>
        <v>0.9</v>
      </c>
      <c r="U97" s="475">
        <f>'Master Assumptions'!M323</f>
        <v>0.9</v>
      </c>
      <c r="V97" s="174"/>
      <c r="W97" s="46"/>
      <c r="X97" s="70"/>
    </row>
    <row r="98" spans="1:24" outlineLevel="1">
      <c r="A98" s="1"/>
      <c r="E98" s="41"/>
      <c r="F98" s="21"/>
      <c r="G98" s="21"/>
      <c r="H98" s="1196"/>
      <c r="I98" s="173" t="str">
        <f>A104</f>
        <v>Processing</v>
      </c>
      <c r="J98" s="475">
        <f>'Master Assumptions'!B324</f>
        <v>0.9</v>
      </c>
      <c r="K98" s="475">
        <f>'Master Assumptions'!C324</f>
        <v>0.9</v>
      </c>
      <c r="L98" s="475">
        <f>'Master Assumptions'!D324</f>
        <v>0.9</v>
      </c>
      <c r="M98" s="475">
        <f>'Master Assumptions'!E324</f>
        <v>0.9</v>
      </c>
      <c r="N98" s="475">
        <f>'Master Assumptions'!F324</f>
        <v>0.9</v>
      </c>
      <c r="O98" s="475">
        <f>'Master Assumptions'!G324</f>
        <v>0.9</v>
      </c>
      <c r="P98" s="475">
        <f>'Master Assumptions'!H324</f>
        <v>0.9</v>
      </c>
      <c r="Q98" s="475">
        <f>'Master Assumptions'!I324</f>
        <v>0.9</v>
      </c>
      <c r="R98" s="475">
        <f>'Master Assumptions'!J324</f>
        <v>0.9</v>
      </c>
      <c r="S98" s="475">
        <f>'Master Assumptions'!K324</f>
        <v>0.9</v>
      </c>
      <c r="T98" s="475">
        <f>'Master Assumptions'!L324</f>
        <v>0.9</v>
      </c>
      <c r="U98" s="475">
        <f>'Master Assumptions'!M324</f>
        <v>0.9</v>
      </c>
      <c r="V98" s="174"/>
      <c r="W98" s="46"/>
      <c r="X98" s="70"/>
    </row>
    <row r="99" spans="1:24" outlineLevel="1">
      <c r="A99" s="1"/>
      <c r="E99" s="41"/>
      <c r="F99" s="21"/>
      <c r="G99" s="21"/>
      <c r="H99" s="1196"/>
      <c r="I99" s="175" t="str">
        <f>A105</f>
        <v>Others</v>
      </c>
      <c r="J99" s="476">
        <f>'Master Assumptions'!B325</f>
        <v>0.9</v>
      </c>
      <c r="K99" s="476">
        <f>'Master Assumptions'!C325</f>
        <v>0.9</v>
      </c>
      <c r="L99" s="476">
        <f>'Master Assumptions'!D325</f>
        <v>0.9</v>
      </c>
      <c r="M99" s="476">
        <f>'Master Assumptions'!E325</f>
        <v>0.9</v>
      </c>
      <c r="N99" s="476">
        <f>'Master Assumptions'!F325</f>
        <v>0.9</v>
      </c>
      <c r="O99" s="476">
        <f>'Master Assumptions'!G325</f>
        <v>0.9</v>
      </c>
      <c r="P99" s="476">
        <f>'Master Assumptions'!H325</f>
        <v>0.9</v>
      </c>
      <c r="Q99" s="476">
        <f>'Master Assumptions'!I325</f>
        <v>0.9</v>
      </c>
      <c r="R99" s="476">
        <f>'Master Assumptions'!J325</f>
        <v>0.9</v>
      </c>
      <c r="S99" s="476">
        <f>'Master Assumptions'!K325</f>
        <v>0.9</v>
      </c>
      <c r="T99" s="476">
        <f>'Master Assumptions'!L325</f>
        <v>0.9</v>
      </c>
      <c r="U99" s="476">
        <f>'Master Assumptions'!M325</f>
        <v>0.9</v>
      </c>
      <c r="V99" s="176"/>
      <c r="W99" s="46"/>
      <c r="X99" s="70"/>
    </row>
    <row r="100" spans="1:24">
      <c r="E100" s="41"/>
      <c r="F100" s="21"/>
      <c r="G100" s="21"/>
      <c r="I100" s="6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46"/>
      <c r="X100" s="70"/>
    </row>
    <row r="101" spans="1:24" ht="16.5" customHeight="1">
      <c r="A101" s="5" t="str">
        <f>A7</f>
        <v>Inputs</v>
      </c>
      <c r="B101" s="5"/>
      <c r="C101" s="199"/>
      <c r="E101" s="111"/>
      <c r="F101" s="482"/>
      <c r="G101" s="101"/>
      <c r="I101" s="6"/>
      <c r="J101" s="37">
        <f t="shared" ref="J101:U101" si="48">J95*J7</f>
        <v>1307917.5259808153</v>
      </c>
      <c r="K101" s="37">
        <f t="shared" si="48"/>
        <v>957357.06242639688</v>
      </c>
      <c r="L101" s="37">
        <f t="shared" si="48"/>
        <v>999598.45859791141</v>
      </c>
      <c r="M101" s="37">
        <f t="shared" si="48"/>
        <v>1220262.6905742192</v>
      </c>
      <c r="N101" s="37">
        <f t="shared" si="48"/>
        <v>1124764.3804497698</v>
      </c>
      <c r="O101" s="37">
        <f t="shared" si="48"/>
        <v>1192430.994992977</v>
      </c>
      <c r="P101" s="37">
        <f t="shared" si="48"/>
        <v>1038971.1830450796</v>
      </c>
      <c r="Q101" s="37">
        <f t="shared" si="48"/>
        <v>1023177.0502846164</v>
      </c>
      <c r="R101" s="37">
        <f t="shared" si="48"/>
        <v>520558.11917938566</v>
      </c>
      <c r="S101" s="37">
        <f t="shared" si="48"/>
        <v>853267.18450581899</v>
      </c>
      <c r="T101" s="37">
        <f t="shared" si="48"/>
        <v>547136.82147324493</v>
      </c>
      <c r="U101" s="37">
        <f t="shared" si="48"/>
        <v>573090.66343085712</v>
      </c>
      <c r="V101" s="39">
        <f>SUM(J101:U101)</f>
        <v>11358532.13494109</v>
      </c>
      <c r="W101" s="46">
        <f t="shared" ref="W101:W122" si="49">SUM(J101:V101)/2-V101</f>
        <v>0</v>
      </c>
      <c r="X101" s="70"/>
    </row>
    <row r="102" spans="1:24" ht="16.5" customHeight="1">
      <c r="A102" s="5" t="str">
        <f>A8</f>
        <v>Output</v>
      </c>
      <c r="B102" s="5"/>
      <c r="C102" s="108"/>
      <c r="E102" s="111"/>
      <c r="F102" s="482"/>
      <c r="G102" s="101"/>
      <c r="I102" s="6"/>
      <c r="J102" s="37">
        <f t="shared" ref="J102:U102" si="50">J96*J8</f>
        <v>18295974.502972942</v>
      </c>
      <c r="K102" s="37">
        <f t="shared" si="50"/>
        <v>20103304.839144353</v>
      </c>
      <c r="L102" s="37">
        <f t="shared" si="50"/>
        <v>20284037.872761492</v>
      </c>
      <c r="M102" s="37">
        <f t="shared" si="50"/>
        <v>21057535.204478346</v>
      </c>
      <c r="N102" s="37">
        <f t="shared" si="50"/>
        <v>30241991.094433721</v>
      </c>
      <c r="O102" s="37">
        <f t="shared" si="50"/>
        <v>33969977.525782205</v>
      </c>
      <c r="P102" s="37">
        <f t="shared" si="50"/>
        <v>27557356.929541234</v>
      </c>
      <c r="Q102" s="37">
        <f t="shared" si="50"/>
        <v>27843021.512860011</v>
      </c>
      <c r="R102" s="37">
        <f t="shared" si="50"/>
        <v>11696663.125944823</v>
      </c>
      <c r="S102" s="37">
        <f t="shared" si="50"/>
        <v>22708757.075488605</v>
      </c>
      <c r="T102" s="37">
        <f t="shared" si="50"/>
        <v>12987055.223384155</v>
      </c>
      <c r="U102" s="37">
        <f t="shared" si="50"/>
        <v>13818703.579350181</v>
      </c>
      <c r="V102" s="39">
        <f t="shared" ref="V102:V105" si="51">SUM(J102:U102)</f>
        <v>260564378.48614201</v>
      </c>
      <c r="W102" s="46">
        <f t="shared" si="49"/>
        <v>0</v>
      </c>
      <c r="X102" s="70"/>
    </row>
    <row r="103" spans="1:24" ht="16.5" customHeight="1">
      <c r="A103" s="5" t="str">
        <f>A9</f>
        <v>Services</v>
      </c>
      <c r="B103" s="5"/>
      <c r="C103" s="108"/>
      <c r="E103" s="111"/>
      <c r="F103" s="482"/>
      <c r="G103" s="101"/>
      <c r="I103" s="6"/>
      <c r="J103" s="37">
        <f t="shared" ref="J103:U103" si="52">J97*J9</f>
        <v>0</v>
      </c>
      <c r="K103" s="37">
        <f t="shared" si="52"/>
        <v>348777</v>
      </c>
      <c r="L103" s="37">
        <f t="shared" si="52"/>
        <v>697554</v>
      </c>
      <c r="M103" s="37">
        <f t="shared" si="52"/>
        <v>0</v>
      </c>
      <c r="N103" s="37">
        <f t="shared" si="52"/>
        <v>333411.3</v>
      </c>
      <c r="O103" s="37">
        <f t="shared" si="52"/>
        <v>666822.6</v>
      </c>
      <c r="P103" s="37">
        <f t="shared" si="52"/>
        <v>340240.5</v>
      </c>
      <c r="Q103" s="37">
        <f t="shared" si="52"/>
        <v>680481</v>
      </c>
      <c r="R103" s="37">
        <f t="shared" si="52"/>
        <v>0</v>
      </c>
      <c r="S103" s="37">
        <f t="shared" si="52"/>
        <v>0</v>
      </c>
      <c r="T103" s="37">
        <f t="shared" si="52"/>
        <v>170120.25</v>
      </c>
      <c r="U103" s="37">
        <f t="shared" si="52"/>
        <v>170120.25</v>
      </c>
      <c r="V103" s="39">
        <f t="shared" si="51"/>
        <v>3407526.9</v>
      </c>
      <c r="W103" s="46">
        <f t="shared" si="49"/>
        <v>0</v>
      </c>
      <c r="X103" s="70"/>
    </row>
    <row r="104" spans="1:24" ht="16.5" customHeight="1">
      <c r="A104" s="5" t="str">
        <f>A10</f>
        <v>Processing</v>
      </c>
      <c r="B104" s="5"/>
      <c r="C104" s="108"/>
      <c r="E104" s="111"/>
      <c r="F104" s="482"/>
      <c r="G104" s="101"/>
      <c r="I104" s="6"/>
      <c r="J104" s="37">
        <f t="shared" ref="J104:U104" si="53">J98*J10</f>
        <v>0</v>
      </c>
      <c r="K104" s="37">
        <f t="shared" si="53"/>
        <v>0</v>
      </c>
      <c r="L104" s="37">
        <f t="shared" si="53"/>
        <v>1195294.6579785862</v>
      </c>
      <c r="M104" s="37">
        <f t="shared" si="53"/>
        <v>626039.76232166961</v>
      </c>
      <c r="N104" s="37">
        <f t="shared" si="53"/>
        <v>2038883.0702988207</v>
      </c>
      <c r="O104" s="37">
        <f t="shared" si="53"/>
        <v>2025473.8396532426</v>
      </c>
      <c r="P104" s="37">
        <f t="shared" si="53"/>
        <v>857347.87769325729</v>
      </c>
      <c r="Q104" s="37">
        <f t="shared" si="53"/>
        <v>591600.56266383454</v>
      </c>
      <c r="R104" s="37">
        <f t="shared" si="53"/>
        <v>59160.05626638345</v>
      </c>
      <c r="S104" s="37">
        <f t="shared" si="53"/>
        <v>5916.0056266383444</v>
      </c>
      <c r="T104" s="37">
        <f t="shared" si="53"/>
        <v>591.60056266383469</v>
      </c>
      <c r="U104" s="37">
        <f t="shared" si="53"/>
        <v>59.160056266383464</v>
      </c>
      <c r="V104" s="39">
        <f t="shared" si="51"/>
        <v>7400366.5931213619</v>
      </c>
      <c r="W104" s="46">
        <f t="shared" si="49"/>
        <v>0</v>
      </c>
      <c r="X104" s="70"/>
    </row>
    <row r="105" spans="1:24" ht="16.5" customHeight="1">
      <c r="A105" s="5" t="str">
        <f>A11</f>
        <v>Others</v>
      </c>
      <c r="B105" s="5"/>
      <c r="C105" s="108"/>
      <c r="E105" s="111"/>
      <c r="F105" s="482"/>
      <c r="G105" s="101"/>
      <c r="I105" s="6"/>
      <c r="J105" s="37">
        <f t="shared" ref="J105:U105" si="54">J99*J11</f>
        <v>0</v>
      </c>
      <c r="K105" s="37">
        <f t="shared" si="54"/>
        <v>0</v>
      </c>
      <c r="L105" s="37">
        <f t="shared" si="54"/>
        <v>0</v>
      </c>
      <c r="M105" s="37">
        <f t="shared" si="54"/>
        <v>0</v>
      </c>
      <c r="N105" s="37">
        <f t="shared" si="54"/>
        <v>0</v>
      </c>
      <c r="O105" s="37">
        <f t="shared" si="54"/>
        <v>0</v>
      </c>
      <c r="P105" s="37">
        <f t="shared" si="54"/>
        <v>0</v>
      </c>
      <c r="Q105" s="37">
        <f t="shared" si="54"/>
        <v>0</v>
      </c>
      <c r="R105" s="37">
        <f t="shared" si="54"/>
        <v>0</v>
      </c>
      <c r="S105" s="37">
        <f t="shared" si="54"/>
        <v>0</v>
      </c>
      <c r="T105" s="37">
        <f t="shared" si="54"/>
        <v>0</v>
      </c>
      <c r="U105" s="37">
        <f t="shared" si="54"/>
        <v>0</v>
      </c>
      <c r="V105" s="39">
        <f t="shared" si="51"/>
        <v>0</v>
      </c>
      <c r="W105" s="46">
        <f t="shared" si="49"/>
        <v>0</v>
      </c>
      <c r="X105" s="70"/>
    </row>
    <row r="106" spans="1:24" ht="6" customHeight="1">
      <c r="A106" s="33"/>
      <c r="B106" s="34"/>
      <c r="C106" s="34"/>
      <c r="D106" s="34"/>
      <c r="E106" s="266"/>
      <c r="F106" s="266"/>
      <c r="G106" s="34"/>
      <c r="H106" s="34"/>
      <c r="I106" s="35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X106" s="70"/>
    </row>
    <row r="107" spans="1:24">
      <c r="A107" s="1" t="s">
        <v>63</v>
      </c>
      <c r="E107" s="41" t="s">
        <v>66</v>
      </c>
      <c r="I107" s="6"/>
      <c r="J107" s="39">
        <f>SUM(J108:J112)</f>
        <v>2178210.225439305</v>
      </c>
      <c r="K107" s="39">
        <f t="shared" ref="K107:V107" si="55">SUM(K108:K112)</f>
        <v>2378826.5446189707</v>
      </c>
      <c r="L107" s="39">
        <f t="shared" si="55"/>
        <v>2575164.9988153335</v>
      </c>
      <c r="M107" s="39">
        <f t="shared" si="55"/>
        <v>2544870.8508193591</v>
      </c>
      <c r="N107" s="39">
        <f t="shared" si="55"/>
        <v>3748783.3161313678</v>
      </c>
      <c r="O107" s="39">
        <f t="shared" si="55"/>
        <v>4206078.3289364865</v>
      </c>
      <c r="P107" s="39">
        <f t="shared" si="55"/>
        <v>3310435.1655866178</v>
      </c>
      <c r="Q107" s="39">
        <f t="shared" si="55"/>
        <v>3348697.7917564935</v>
      </c>
      <c r="R107" s="39">
        <f t="shared" si="55"/>
        <v>1364042.3668211759</v>
      </c>
      <c r="S107" s="39">
        <f t="shared" si="55"/>
        <v>2618660.0295134517</v>
      </c>
      <c r="T107" s="39">
        <f t="shared" si="55"/>
        <v>1522767.0994911173</v>
      </c>
      <c r="U107" s="39">
        <f t="shared" si="55"/>
        <v>1617997.072537479</v>
      </c>
      <c r="V107" s="39">
        <f t="shared" si="55"/>
        <v>31414533.790467162</v>
      </c>
      <c r="W107" s="46">
        <f t="shared" si="49"/>
        <v>0</v>
      </c>
      <c r="X107" s="70"/>
    </row>
    <row r="108" spans="1:24">
      <c r="A108" s="5" t="str">
        <f>A101</f>
        <v>Inputs</v>
      </c>
      <c r="C108" s="107"/>
      <c r="E108" s="483">
        <f>'Master Assumptions'!D314</f>
        <v>30</v>
      </c>
      <c r="F108" s="200" t="s">
        <v>20</v>
      </c>
      <c r="I108" s="6"/>
      <c r="J108" s="37">
        <f t="shared" ref="J108:U108" si="56">J7-J101</f>
        <v>145324.16955342377</v>
      </c>
      <c r="K108" s="37">
        <f t="shared" si="56"/>
        <v>106373.00693626632</v>
      </c>
      <c r="L108" s="37">
        <f t="shared" si="56"/>
        <v>111066.49539976788</v>
      </c>
      <c r="M108" s="37">
        <f t="shared" si="56"/>
        <v>135584.74339713552</v>
      </c>
      <c r="N108" s="37">
        <f t="shared" si="56"/>
        <v>124973.82004997437</v>
      </c>
      <c r="O108" s="37">
        <f t="shared" si="56"/>
        <v>132492.33277699747</v>
      </c>
      <c r="P108" s="37">
        <f t="shared" si="56"/>
        <v>115441.24256056442</v>
      </c>
      <c r="Q108" s="37">
        <f t="shared" si="56"/>
        <v>113686.33892051294</v>
      </c>
      <c r="R108" s="37">
        <f t="shared" si="56"/>
        <v>57839.791019931727</v>
      </c>
      <c r="S108" s="37">
        <f t="shared" si="56"/>
        <v>94807.464945090935</v>
      </c>
      <c r="T108" s="37">
        <f t="shared" si="56"/>
        <v>60792.980163693894</v>
      </c>
      <c r="U108" s="37">
        <f t="shared" si="56"/>
        <v>63676.740381206386</v>
      </c>
      <c r="V108" s="39">
        <f>SUM(J108:U108)</f>
        <v>1262059.1261045656</v>
      </c>
      <c r="W108" s="46">
        <f t="shared" si="49"/>
        <v>0</v>
      </c>
      <c r="X108" s="70"/>
    </row>
    <row r="109" spans="1:24">
      <c r="A109" s="5" t="str">
        <f t="shared" ref="A109:A112" si="57">A102</f>
        <v>Output</v>
      </c>
      <c r="E109" s="483">
        <f>'Master Assumptions'!D315</f>
        <v>30</v>
      </c>
      <c r="F109" s="200" t="s">
        <v>20</v>
      </c>
      <c r="I109" s="6"/>
      <c r="J109" s="37">
        <f t="shared" ref="J109:U109" si="58">J8-J102</f>
        <v>2032886.0558858812</v>
      </c>
      <c r="K109" s="37">
        <f t="shared" si="58"/>
        <v>2233700.5376827046</v>
      </c>
      <c r="L109" s="37">
        <f t="shared" si="58"/>
        <v>2253781.9858623892</v>
      </c>
      <c r="M109" s="37">
        <f t="shared" si="58"/>
        <v>2339726.1338309273</v>
      </c>
      <c r="N109" s="37">
        <f t="shared" si="58"/>
        <v>3360221.2327148579</v>
      </c>
      <c r="O109" s="37">
        <f t="shared" si="58"/>
        <v>3774441.9473091289</v>
      </c>
      <c r="P109" s="37">
        <f t="shared" si="58"/>
        <v>3061928.5477268025</v>
      </c>
      <c r="Q109" s="37">
        <f t="shared" si="58"/>
        <v>3093669.0569844432</v>
      </c>
      <c r="R109" s="37">
        <f t="shared" si="58"/>
        <v>1299629.2362160906</v>
      </c>
      <c r="S109" s="37">
        <f t="shared" si="58"/>
        <v>2523195.2306098454</v>
      </c>
      <c r="T109" s="37">
        <f t="shared" si="58"/>
        <v>1443006.1359315719</v>
      </c>
      <c r="U109" s="37">
        <f t="shared" si="58"/>
        <v>1535411.5088166874</v>
      </c>
      <c r="V109" s="39">
        <f t="shared" ref="V109:V112" si="59">SUM(J109:U109)</f>
        <v>28951597.60957133</v>
      </c>
      <c r="W109" s="46">
        <f t="shared" si="49"/>
        <v>0</v>
      </c>
      <c r="X109" s="70"/>
    </row>
    <row r="110" spans="1:24">
      <c r="A110" s="5" t="str">
        <f t="shared" si="57"/>
        <v>Services</v>
      </c>
      <c r="E110" s="483">
        <f>'Master Assumptions'!D316</f>
        <v>30</v>
      </c>
      <c r="F110" s="200" t="s">
        <v>20</v>
      </c>
      <c r="I110" s="6"/>
      <c r="J110" s="37">
        <f t="shared" ref="J110:U110" si="60">J9-J103</f>
        <v>0</v>
      </c>
      <c r="K110" s="37">
        <f t="shared" si="60"/>
        <v>38753</v>
      </c>
      <c r="L110" s="37">
        <f t="shared" si="60"/>
        <v>77506</v>
      </c>
      <c r="M110" s="37">
        <f t="shared" si="60"/>
        <v>0</v>
      </c>
      <c r="N110" s="37">
        <f t="shared" si="60"/>
        <v>37045.700000000012</v>
      </c>
      <c r="O110" s="37">
        <f t="shared" si="60"/>
        <v>74091.400000000023</v>
      </c>
      <c r="P110" s="37">
        <f t="shared" si="60"/>
        <v>37804.5</v>
      </c>
      <c r="Q110" s="37">
        <f t="shared" si="60"/>
        <v>75609</v>
      </c>
      <c r="R110" s="37">
        <f t="shared" si="60"/>
        <v>0</v>
      </c>
      <c r="S110" s="37">
        <f t="shared" si="60"/>
        <v>0</v>
      </c>
      <c r="T110" s="37">
        <f t="shared" si="60"/>
        <v>18902.25</v>
      </c>
      <c r="U110" s="37">
        <f t="shared" si="60"/>
        <v>18902.25</v>
      </c>
      <c r="V110" s="39">
        <f t="shared" si="59"/>
        <v>378614.10000000003</v>
      </c>
      <c r="W110" s="46">
        <f t="shared" si="49"/>
        <v>0</v>
      </c>
      <c r="X110" s="70"/>
    </row>
    <row r="111" spans="1:24">
      <c r="A111" s="5" t="str">
        <f t="shared" si="57"/>
        <v>Processing</v>
      </c>
      <c r="E111" s="483">
        <f>'Master Assumptions'!D317</f>
        <v>30</v>
      </c>
      <c r="F111" s="200" t="s">
        <v>20</v>
      </c>
      <c r="I111" s="6"/>
      <c r="J111" s="37">
        <f t="shared" ref="J111:U111" si="61">J10-J104</f>
        <v>0</v>
      </c>
      <c r="K111" s="37">
        <f t="shared" si="61"/>
        <v>0</v>
      </c>
      <c r="L111" s="37">
        <f t="shared" si="61"/>
        <v>132810.51755317627</v>
      </c>
      <c r="M111" s="37">
        <f t="shared" si="61"/>
        <v>69559.973591296584</v>
      </c>
      <c r="N111" s="37">
        <f t="shared" si="61"/>
        <v>226542.56336653559</v>
      </c>
      <c r="O111" s="37">
        <f t="shared" si="61"/>
        <v>225052.64885036019</v>
      </c>
      <c r="P111" s="37">
        <f t="shared" si="61"/>
        <v>95260.875299250823</v>
      </c>
      <c r="Q111" s="37">
        <f t="shared" si="61"/>
        <v>65733.39585153712</v>
      </c>
      <c r="R111" s="37">
        <f t="shared" si="61"/>
        <v>6573.3395851537134</v>
      </c>
      <c r="S111" s="37">
        <f t="shared" si="61"/>
        <v>657.33395851537171</v>
      </c>
      <c r="T111" s="37">
        <f t="shared" si="61"/>
        <v>65.733395851537125</v>
      </c>
      <c r="U111" s="37">
        <f t="shared" si="61"/>
        <v>6.5733395851537182</v>
      </c>
      <c r="V111" s="39">
        <f t="shared" si="59"/>
        <v>822262.95479126228</v>
      </c>
      <c r="W111" s="46">
        <f t="shared" si="49"/>
        <v>0</v>
      </c>
      <c r="X111" s="70"/>
    </row>
    <row r="112" spans="1:24">
      <c r="A112" s="5" t="str">
        <f t="shared" si="57"/>
        <v>Others</v>
      </c>
      <c r="E112" s="483">
        <f>'Master Assumptions'!D318</f>
        <v>30</v>
      </c>
      <c r="F112" s="200" t="s">
        <v>20</v>
      </c>
      <c r="I112" s="6"/>
      <c r="J112" s="37">
        <f t="shared" ref="J112:U112" si="62">J11-J105</f>
        <v>0</v>
      </c>
      <c r="K112" s="37">
        <f t="shared" si="62"/>
        <v>0</v>
      </c>
      <c r="L112" s="37">
        <f t="shared" si="62"/>
        <v>0</v>
      </c>
      <c r="M112" s="37">
        <f t="shared" si="62"/>
        <v>0</v>
      </c>
      <c r="N112" s="37">
        <f t="shared" si="62"/>
        <v>0</v>
      </c>
      <c r="O112" s="37">
        <f t="shared" si="62"/>
        <v>0</v>
      </c>
      <c r="P112" s="37">
        <f t="shared" si="62"/>
        <v>0</v>
      </c>
      <c r="Q112" s="37">
        <f t="shared" si="62"/>
        <v>0</v>
      </c>
      <c r="R112" s="37">
        <f t="shared" si="62"/>
        <v>0</v>
      </c>
      <c r="S112" s="37">
        <f t="shared" si="62"/>
        <v>0</v>
      </c>
      <c r="T112" s="37">
        <f t="shared" si="62"/>
        <v>0</v>
      </c>
      <c r="U112" s="37">
        <f t="shared" si="62"/>
        <v>0</v>
      </c>
      <c r="V112" s="39">
        <f t="shared" si="59"/>
        <v>0</v>
      </c>
      <c r="W112" s="46">
        <f t="shared" si="49"/>
        <v>0</v>
      </c>
      <c r="X112" s="70"/>
    </row>
    <row r="113" spans="1:24" ht="6" customHeight="1"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X113" s="70"/>
    </row>
    <row r="114" spans="1:24">
      <c r="A114" s="1" t="s">
        <v>65</v>
      </c>
      <c r="I114" s="6"/>
      <c r="J114" s="9">
        <f ca="1">SUM(J115:J119)</f>
        <v>0</v>
      </c>
      <c r="K114" s="9">
        <f t="shared" ref="K114:V114" ca="1" si="63">SUM(K115:K119)</f>
        <v>2178210.225439305</v>
      </c>
      <c r="L114" s="9">
        <f t="shared" ca="1" si="63"/>
        <v>2378826.5446189707</v>
      </c>
      <c r="M114" s="9">
        <f t="shared" ca="1" si="63"/>
        <v>2575164.9988153335</v>
      </c>
      <c r="N114" s="9">
        <f t="shared" ca="1" si="63"/>
        <v>2544870.8508193591</v>
      </c>
      <c r="O114" s="9">
        <f t="shared" ca="1" si="63"/>
        <v>3748783.3161313678</v>
      </c>
      <c r="P114" s="9">
        <f t="shared" ca="1" si="63"/>
        <v>4206078.3289364865</v>
      </c>
      <c r="Q114" s="9">
        <f t="shared" ca="1" si="63"/>
        <v>3310435.1655866178</v>
      </c>
      <c r="R114" s="9">
        <f t="shared" ca="1" si="63"/>
        <v>3348697.7917564935</v>
      </c>
      <c r="S114" s="9">
        <f t="shared" ca="1" si="63"/>
        <v>1364042.3668211759</v>
      </c>
      <c r="T114" s="9">
        <f t="shared" ca="1" si="63"/>
        <v>2618660.0295134517</v>
      </c>
      <c r="U114" s="9">
        <f t="shared" ca="1" si="63"/>
        <v>1522767.0994911173</v>
      </c>
      <c r="V114" s="9">
        <f t="shared" ca="1" si="63"/>
        <v>29796536.71792968</v>
      </c>
      <c r="W114" s="46">
        <f t="shared" ca="1" si="49"/>
        <v>0</v>
      </c>
      <c r="X114" s="70"/>
    </row>
    <row r="115" spans="1:24">
      <c r="A115" s="5" t="str">
        <f>A108</f>
        <v>Inputs</v>
      </c>
      <c r="I115" s="6"/>
      <c r="J115" s="37">
        <f ca="1">OFFSET(J108,0,VLOOKUP($E108,CreditDaysT[],2,FALSE))</f>
        <v>0</v>
      </c>
      <c r="K115" s="37">
        <f ca="1">OFFSET(K108,0,VLOOKUP($E108,CreditDaysT[],2,FALSE))</f>
        <v>145324.16955342377</v>
      </c>
      <c r="L115" s="37">
        <f ca="1">OFFSET(L108,0,VLOOKUP($E108,CreditDaysT[],2,FALSE))</f>
        <v>106373.00693626632</v>
      </c>
      <c r="M115" s="37">
        <f ca="1">OFFSET(M108,0,VLOOKUP($E108,CreditDaysT[],2,FALSE))</f>
        <v>111066.49539976788</v>
      </c>
      <c r="N115" s="37">
        <f ca="1">OFFSET(N108,0,VLOOKUP($E108,CreditDaysT[],2,FALSE))</f>
        <v>135584.74339713552</v>
      </c>
      <c r="O115" s="37">
        <f ca="1">OFFSET(O108,0,VLOOKUP($E108,CreditDaysT[],2,FALSE))</f>
        <v>124973.82004997437</v>
      </c>
      <c r="P115" s="37">
        <f ca="1">OFFSET(P108,0,VLOOKUP($E108,CreditDaysT[],2,FALSE))</f>
        <v>132492.33277699747</v>
      </c>
      <c r="Q115" s="37">
        <f ca="1">OFFSET(Q108,0,VLOOKUP($E108,CreditDaysT[],2,FALSE))</f>
        <v>115441.24256056442</v>
      </c>
      <c r="R115" s="37">
        <f ca="1">OFFSET(R108,0,VLOOKUP($E108,CreditDaysT[],2,FALSE))</f>
        <v>113686.33892051294</v>
      </c>
      <c r="S115" s="37">
        <f ca="1">OFFSET(S108,0,VLOOKUP($E108,CreditDaysT[],2,FALSE))</f>
        <v>57839.791019931727</v>
      </c>
      <c r="T115" s="37">
        <f ca="1">OFFSET(T108,0,VLOOKUP($E108,CreditDaysT[],2,FALSE))</f>
        <v>94807.464945090935</v>
      </c>
      <c r="U115" s="37">
        <f ca="1">OFFSET(U108,0,VLOOKUP($E108,CreditDaysT[],2,FALSE))</f>
        <v>60792.980163693894</v>
      </c>
      <c r="V115" s="39">
        <f ca="1">SUM(J115:U115)</f>
        <v>1198382.3857233592</v>
      </c>
      <c r="W115" s="46">
        <f t="shared" ca="1" si="49"/>
        <v>0</v>
      </c>
      <c r="X115" s="70"/>
    </row>
    <row r="116" spans="1:24">
      <c r="A116" s="5" t="str">
        <f t="shared" ref="A116:A119" si="64">A109</f>
        <v>Output</v>
      </c>
      <c r="I116" s="6"/>
      <c r="J116" s="37">
        <f ca="1">OFFSET(J109,0,VLOOKUP($E109,CreditDaysT[],2,FALSE))</f>
        <v>0</v>
      </c>
      <c r="K116" s="37">
        <f ca="1">OFFSET(K109,0,VLOOKUP($E109,CreditDaysT[],2,FALSE))</f>
        <v>2032886.0558858812</v>
      </c>
      <c r="L116" s="37">
        <f ca="1">OFFSET(L109,0,VLOOKUP($E109,CreditDaysT[],2,FALSE))</f>
        <v>2233700.5376827046</v>
      </c>
      <c r="M116" s="37">
        <f ca="1">OFFSET(M109,0,VLOOKUP($E109,CreditDaysT[],2,FALSE))</f>
        <v>2253781.9858623892</v>
      </c>
      <c r="N116" s="37">
        <f ca="1">OFFSET(N109,0,VLOOKUP($E109,CreditDaysT[],2,FALSE))</f>
        <v>2339726.1338309273</v>
      </c>
      <c r="O116" s="37">
        <f ca="1">OFFSET(O109,0,VLOOKUP($E109,CreditDaysT[],2,FALSE))</f>
        <v>3360221.2327148579</v>
      </c>
      <c r="P116" s="37">
        <f ca="1">OFFSET(P109,0,VLOOKUP($E109,CreditDaysT[],2,FALSE))</f>
        <v>3774441.9473091289</v>
      </c>
      <c r="Q116" s="37">
        <f ca="1">OFFSET(Q109,0,VLOOKUP($E109,CreditDaysT[],2,FALSE))</f>
        <v>3061928.5477268025</v>
      </c>
      <c r="R116" s="37">
        <f ca="1">OFFSET(R109,0,VLOOKUP($E109,CreditDaysT[],2,FALSE))</f>
        <v>3093669.0569844432</v>
      </c>
      <c r="S116" s="37">
        <f ca="1">OFFSET(S109,0,VLOOKUP($E109,CreditDaysT[],2,FALSE))</f>
        <v>1299629.2362160906</v>
      </c>
      <c r="T116" s="37">
        <f ca="1">OFFSET(T109,0,VLOOKUP($E109,CreditDaysT[],2,FALSE))</f>
        <v>2523195.2306098454</v>
      </c>
      <c r="U116" s="37">
        <f ca="1">OFFSET(U109,0,VLOOKUP($E109,CreditDaysT[],2,FALSE))</f>
        <v>1443006.1359315719</v>
      </c>
      <c r="V116" s="39">
        <f t="shared" ref="V116:V119" ca="1" si="65">SUM(J116:U116)</f>
        <v>27416186.100754641</v>
      </c>
      <c r="W116" s="46">
        <f t="shared" ca="1" si="49"/>
        <v>0</v>
      </c>
      <c r="X116" s="70"/>
    </row>
    <row r="117" spans="1:24">
      <c r="A117" s="5" t="str">
        <f t="shared" si="64"/>
        <v>Services</v>
      </c>
      <c r="I117" s="6"/>
      <c r="J117" s="37">
        <f ca="1">OFFSET(J110,0,VLOOKUP($E110,CreditDaysT[],2,FALSE))</f>
        <v>0</v>
      </c>
      <c r="K117" s="37">
        <f ca="1">OFFSET(K110,0,VLOOKUP($E110,CreditDaysT[],2,FALSE))</f>
        <v>0</v>
      </c>
      <c r="L117" s="37">
        <f ca="1">OFFSET(L110,0,VLOOKUP($E110,CreditDaysT[],2,FALSE))</f>
        <v>38753</v>
      </c>
      <c r="M117" s="37">
        <f ca="1">OFFSET(M110,0,VLOOKUP($E110,CreditDaysT[],2,FALSE))</f>
        <v>77506</v>
      </c>
      <c r="N117" s="37">
        <f ca="1">OFFSET(N110,0,VLOOKUP($E110,CreditDaysT[],2,FALSE))</f>
        <v>0</v>
      </c>
      <c r="O117" s="37">
        <f ca="1">OFFSET(O110,0,VLOOKUP($E110,CreditDaysT[],2,FALSE))</f>
        <v>37045.700000000012</v>
      </c>
      <c r="P117" s="37">
        <f ca="1">OFFSET(P110,0,VLOOKUP($E110,CreditDaysT[],2,FALSE))</f>
        <v>74091.400000000023</v>
      </c>
      <c r="Q117" s="37">
        <f ca="1">OFFSET(Q110,0,VLOOKUP($E110,CreditDaysT[],2,FALSE))</f>
        <v>37804.5</v>
      </c>
      <c r="R117" s="37">
        <f ca="1">OFFSET(R110,0,VLOOKUP($E110,CreditDaysT[],2,FALSE))</f>
        <v>75609</v>
      </c>
      <c r="S117" s="37">
        <f ca="1">OFFSET(S110,0,VLOOKUP($E110,CreditDaysT[],2,FALSE))</f>
        <v>0</v>
      </c>
      <c r="T117" s="37">
        <f ca="1">OFFSET(T110,0,VLOOKUP($E110,CreditDaysT[],2,FALSE))</f>
        <v>0</v>
      </c>
      <c r="U117" s="37">
        <f ca="1">OFFSET(U110,0,VLOOKUP($E110,CreditDaysT[],2,FALSE))</f>
        <v>18902.25</v>
      </c>
      <c r="V117" s="39">
        <f t="shared" ca="1" si="65"/>
        <v>359711.85000000003</v>
      </c>
      <c r="W117" s="46">
        <f t="shared" ca="1" si="49"/>
        <v>0</v>
      </c>
      <c r="X117" s="70"/>
    </row>
    <row r="118" spans="1:24">
      <c r="A118" s="5" t="str">
        <f t="shared" si="64"/>
        <v>Processing</v>
      </c>
      <c r="I118" s="6"/>
      <c r="J118" s="37">
        <f ca="1">OFFSET(J111,0,VLOOKUP($E111,CreditDaysT[],2,FALSE))</f>
        <v>0</v>
      </c>
      <c r="K118" s="37">
        <f ca="1">OFFSET(K111,0,VLOOKUP($E111,CreditDaysT[],2,FALSE))</f>
        <v>0</v>
      </c>
      <c r="L118" s="37">
        <f ca="1">OFFSET(L111,0,VLOOKUP($E111,CreditDaysT[],2,FALSE))</f>
        <v>0</v>
      </c>
      <c r="M118" s="37">
        <f ca="1">OFFSET(M111,0,VLOOKUP($E111,CreditDaysT[],2,FALSE))</f>
        <v>132810.51755317627</v>
      </c>
      <c r="N118" s="37">
        <f ca="1">OFFSET(N111,0,VLOOKUP($E111,CreditDaysT[],2,FALSE))</f>
        <v>69559.973591296584</v>
      </c>
      <c r="O118" s="37">
        <f ca="1">OFFSET(O111,0,VLOOKUP($E111,CreditDaysT[],2,FALSE))</f>
        <v>226542.56336653559</v>
      </c>
      <c r="P118" s="37">
        <f ca="1">OFFSET(P111,0,VLOOKUP($E111,CreditDaysT[],2,FALSE))</f>
        <v>225052.64885036019</v>
      </c>
      <c r="Q118" s="37">
        <f ca="1">OFFSET(Q111,0,VLOOKUP($E111,CreditDaysT[],2,FALSE))</f>
        <v>95260.875299250823</v>
      </c>
      <c r="R118" s="37">
        <f ca="1">OFFSET(R111,0,VLOOKUP($E111,CreditDaysT[],2,FALSE))</f>
        <v>65733.39585153712</v>
      </c>
      <c r="S118" s="37">
        <f ca="1">OFFSET(S111,0,VLOOKUP($E111,CreditDaysT[],2,FALSE))</f>
        <v>6573.3395851537134</v>
      </c>
      <c r="T118" s="37">
        <f ca="1">OFFSET(T111,0,VLOOKUP($E111,CreditDaysT[],2,FALSE))</f>
        <v>657.33395851537171</v>
      </c>
      <c r="U118" s="37">
        <f ca="1">OFFSET(U111,0,VLOOKUP($E111,CreditDaysT[],2,FALSE))</f>
        <v>65.733395851537125</v>
      </c>
      <c r="V118" s="39">
        <f t="shared" ca="1" si="65"/>
        <v>822256.38145167718</v>
      </c>
      <c r="W118" s="46">
        <f t="shared" ca="1" si="49"/>
        <v>0</v>
      </c>
      <c r="X118" s="70"/>
    </row>
    <row r="119" spans="1:24">
      <c r="A119" s="5" t="str">
        <f t="shared" si="64"/>
        <v>Others</v>
      </c>
      <c r="I119" s="6"/>
      <c r="J119" s="37">
        <f ca="1">OFFSET(J112,0,VLOOKUP($E112,CreditDaysT[],2,FALSE))</f>
        <v>0</v>
      </c>
      <c r="K119" s="37">
        <f ca="1">OFFSET(K112,0,VLOOKUP($E112,CreditDaysT[],2,FALSE))</f>
        <v>0</v>
      </c>
      <c r="L119" s="37">
        <f ca="1">OFFSET(L112,0,VLOOKUP($E112,CreditDaysT[],2,FALSE))</f>
        <v>0</v>
      </c>
      <c r="M119" s="37">
        <f ca="1">OFFSET(M112,0,VLOOKUP($E112,CreditDaysT[],2,FALSE))</f>
        <v>0</v>
      </c>
      <c r="N119" s="37">
        <f ca="1">OFFSET(N112,0,VLOOKUP($E112,CreditDaysT[],2,FALSE))</f>
        <v>0</v>
      </c>
      <c r="O119" s="37">
        <f ca="1">OFFSET(O112,0,VLOOKUP($E112,CreditDaysT[],2,FALSE))</f>
        <v>0</v>
      </c>
      <c r="P119" s="37">
        <f ca="1">OFFSET(P112,0,VLOOKUP($E112,CreditDaysT[],2,FALSE))</f>
        <v>0</v>
      </c>
      <c r="Q119" s="37">
        <f ca="1">OFFSET(Q112,0,VLOOKUP($E112,CreditDaysT[],2,FALSE))</f>
        <v>0</v>
      </c>
      <c r="R119" s="37">
        <f ca="1">OFFSET(R112,0,VLOOKUP($E112,CreditDaysT[],2,FALSE))</f>
        <v>0</v>
      </c>
      <c r="S119" s="37">
        <f ca="1">OFFSET(S112,0,VLOOKUP($E112,CreditDaysT[],2,FALSE))</f>
        <v>0</v>
      </c>
      <c r="T119" s="37">
        <f ca="1">OFFSET(T112,0,VLOOKUP($E112,CreditDaysT[],2,FALSE))</f>
        <v>0</v>
      </c>
      <c r="U119" s="37">
        <f ca="1">OFFSET(U112,0,VLOOKUP($E112,CreditDaysT[],2,FALSE))</f>
        <v>0</v>
      </c>
      <c r="V119" s="39">
        <f t="shared" ca="1" si="65"/>
        <v>0</v>
      </c>
      <c r="W119" s="46">
        <f t="shared" ca="1" si="49"/>
        <v>0</v>
      </c>
      <c r="X119" s="70"/>
    </row>
    <row r="120" spans="1:24" ht="5.25" customHeight="1"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46"/>
      <c r="X120" s="70"/>
    </row>
    <row r="121" spans="1:24" ht="13.5" thickBot="1">
      <c r="A121" s="114" t="s">
        <v>69</v>
      </c>
      <c r="B121" s="115"/>
      <c r="C121" s="115"/>
      <c r="D121" s="115"/>
      <c r="E121" s="115"/>
      <c r="F121" s="115"/>
      <c r="G121" s="115"/>
      <c r="H121" s="115"/>
      <c r="I121" s="116"/>
      <c r="J121" s="117">
        <f ca="1">SUM(J94,J114)</f>
        <v>19603892.028953757</v>
      </c>
      <c r="K121" s="117">
        <f t="shared" ref="K121:V121" ca="1" si="66">SUM(K94,K114)</f>
        <v>23587649.127010055</v>
      </c>
      <c r="L121" s="117">
        <f t="shared" ca="1" si="66"/>
        <v>25555311.53395696</v>
      </c>
      <c r="M121" s="117">
        <f t="shared" ca="1" si="66"/>
        <v>25479002.656189568</v>
      </c>
      <c r="N121" s="117">
        <f t="shared" ca="1" si="66"/>
        <v>36283920.696001671</v>
      </c>
      <c r="O121" s="117">
        <f t="shared" ca="1" si="66"/>
        <v>41603488.2765598</v>
      </c>
      <c r="P121" s="117">
        <f t="shared" ca="1" si="66"/>
        <v>33999994.819216058</v>
      </c>
      <c r="Q121" s="117">
        <f t="shared" ca="1" si="66"/>
        <v>33448715.291395079</v>
      </c>
      <c r="R121" s="117">
        <f t="shared" ca="1" si="66"/>
        <v>15625079.093147086</v>
      </c>
      <c r="S121" s="117">
        <f t="shared" ca="1" si="66"/>
        <v>24931982.63244224</v>
      </c>
      <c r="T121" s="117">
        <f t="shared" ca="1" si="66"/>
        <v>16323563.924933515</v>
      </c>
      <c r="U121" s="117">
        <f t="shared" ca="1" si="66"/>
        <v>16084740.752328422</v>
      </c>
      <c r="V121" s="117">
        <f t="shared" ca="1" si="66"/>
        <v>312527340.83213407</v>
      </c>
      <c r="W121" s="46">
        <f t="shared" ca="1" si="49"/>
        <v>0</v>
      </c>
      <c r="X121" s="70"/>
    </row>
    <row r="122" spans="1:24" ht="13.5" thickTop="1">
      <c r="A122" s="1" t="s">
        <v>71</v>
      </c>
      <c r="F122" s="21"/>
      <c r="G122" s="21"/>
      <c r="I122" s="6"/>
      <c r="J122" s="9">
        <f>SUM(J129:J133)</f>
        <v>17730402.421500001</v>
      </c>
      <c r="K122" s="9">
        <f t="shared" ref="K122:U122" si="67">SUM(K129:K133)</f>
        <v>17730492.385499999</v>
      </c>
      <c r="L122" s="9">
        <f t="shared" si="67"/>
        <v>18830549.713500001</v>
      </c>
      <c r="M122" s="9">
        <f t="shared" si="67"/>
        <v>20271681.755999997</v>
      </c>
      <c r="N122" s="9">
        <f t="shared" si="67"/>
        <v>30230690.931000002</v>
      </c>
      <c r="O122" s="9">
        <f t="shared" si="67"/>
        <v>32924180.038500007</v>
      </c>
      <c r="P122" s="9">
        <f t="shared" si="67"/>
        <v>24328670.683500003</v>
      </c>
      <c r="Q122" s="9">
        <f t="shared" si="67"/>
        <v>25179438.793499999</v>
      </c>
      <c r="R122" s="9">
        <f t="shared" si="67"/>
        <v>8877435.9367500003</v>
      </c>
      <c r="S122" s="9">
        <f t="shared" si="67"/>
        <v>21255951.246750001</v>
      </c>
      <c r="T122" s="9">
        <f t="shared" si="67"/>
        <v>10635231.246750001</v>
      </c>
      <c r="U122" s="9">
        <f t="shared" si="67"/>
        <v>12405351.246750001</v>
      </c>
      <c r="V122" s="9">
        <f>SUM(J122:U122)</f>
        <v>240400076.39999998</v>
      </c>
      <c r="W122" s="46">
        <f t="shared" si="49"/>
        <v>0</v>
      </c>
      <c r="X122" s="70"/>
    </row>
    <row r="123" spans="1:24" outlineLevel="1">
      <c r="A123" s="1"/>
      <c r="E123" s="41"/>
      <c r="F123" s="21"/>
      <c r="G123" s="21"/>
      <c r="H123" s="1196" t="s">
        <v>18</v>
      </c>
      <c r="I123" s="170" t="str">
        <f>A129</f>
        <v>Inputs</v>
      </c>
      <c r="J123" s="474">
        <f>'Master Assumptions'!B331</f>
        <v>0.9</v>
      </c>
      <c r="K123" s="474">
        <f>'Master Assumptions'!C331</f>
        <v>0.9</v>
      </c>
      <c r="L123" s="474">
        <f>'Master Assumptions'!D331</f>
        <v>0.9</v>
      </c>
      <c r="M123" s="474">
        <f>'Master Assumptions'!E331</f>
        <v>0.9</v>
      </c>
      <c r="N123" s="474">
        <f>'Master Assumptions'!F331</f>
        <v>0.9</v>
      </c>
      <c r="O123" s="474">
        <f>'Master Assumptions'!G331</f>
        <v>0.9</v>
      </c>
      <c r="P123" s="474">
        <f>'Master Assumptions'!H331</f>
        <v>0.9</v>
      </c>
      <c r="Q123" s="474">
        <f>'Master Assumptions'!I331</f>
        <v>0.9</v>
      </c>
      <c r="R123" s="474">
        <f>'Master Assumptions'!J331</f>
        <v>0.9</v>
      </c>
      <c r="S123" s="474">
        <f>'Master Assumptions'!K331</f>
        <v>0.9</v>
      </c>
      <c r="T123" s="474">
        <f>'Master Assumptions'!L331</f>
        <v>0.9</v>
      </c>
      <c r="U123" s="474">
        <f>'Master Assumptions'!M331</f>
        <v>0.9</v>
      </c>
      <c r="V123" s="171"/>
      <c r="W123" s="46"/>
      <c r="X123" s="70"/>
    </row>
    <row r="124" spans="1:24" outlineLevel="1">
      <c r="A124" s="1"/>
      <c r="E124" s="41"/>
      <c r="F124" s="21"/>
      <c r="G124" s="21"/>
      <c r="H124" s="1196"/>
      <c r="I124" s="173" t="str">
        <f>A130</f>
        <v>Output</v>
      </c>
      <c r="J124" s="475">
        <f>'Master Assumptions'!B332</f>
        <v>0.9</v>
      </c>
      <c r="K124" s="475">
        <f>'Master Assumptions'!C332</f>
        <v>0.9</v>
      </c>
      <c r="L124" s="475">
        <f>'Master Assumptions'!D332</f>
        <v>0.9</v>
      </c>
      <c r="M124" s="475">
        <f>'Master Assumptions'!E332</f>
        <v>0.9</v>
      </c>
      <c r="N124" s="475">
        <f>'Master Assumptions'!F332</f>
        <v>0.9</v>
      </c>
      <c r="O124" s="475">
        <f>'Master Assumptions'!G332</f>
        <v>0.9</v>
      </c>
      <c r="P124" s="475">
        <f>'Master Assumptions'!H332</f>
        <v>0.9</v>
      </c>
      <c r="Q124" s="475">
        <f>'Master Assumptions'!I332</f>
        <v>0.9</v>
      </c>
      <c r="R124" s="475">
        <f>'Master Assumptions'!J332</f>
        <v>0.9</v>
      </c>
      <c r="S124" s="475">
        <f>'Master Assumptions'!K332</f>
        <v>0.9</v>
      </c>
      <c r="T124" s="475">
        <f>'Master Assumptions'!L332</f>
        <v>0.9</v>
      </c>
      <c r="U124" s="475">
        <f>'Master Assumptions'!M332</f>
        <v>0.9</v>
      </c>
      <c r="V124" s="174"/>
      <c r="W124" s="46"/>
      <c r="X124" s="70"/>
    </row>
    <row r="125" spans="1:24" outlineLevel="1">
      <c r="A125" s="1"/>
      <c r="E125" s="41"/>
      <c r="F125" s="21"/>
      <c r="G125" s="21"/>
      <c r="H125" s="1196"/>
      <c r="I125" s="173" t="str">
        <f>A131</f>
        <v>Services</v>
      </c>
      <c r="J125" s="475">
        <f>'Master Assumptions'!B333</f>
        <v>0.9</v>
      </c>
      <c r="K125" s="475">
        <f>'Master Assumptions'!C333</f>
        <v>0.9</v>
      </c>
      <c r="L125" s="475">
        <f>'Master Assumptions'!D333</f>
        <v>0.9</v>
      </c>
      <c r="M125" s="475">
        <f>'Master Assumptions'!E333</f>
        <v>0.9</v>
      </c>
      <c r="N125" s="475">
        <f>'Master Assumptions'!F333</f>
        <v>0.9</v>
      </c>
      <c r="O125" s="475">
        <f>'Master Assumptions'!G333</f>
        <v>0.9</v>
      </c>
      <c r="P125" s="475">
        <f>'Master Assumptions'!H333</f>
        <v>0.9</v>
      </c>
      <c r="Q125" s="475">
        <f>'Master Assumptions'!I333</f>
        <v>0.9</v>
      </c>
      <c r="R125" s="475">
        <f>'Master Assumptions'!J333</f>
        <v>0.9</v>
      </c>
      <c r="S125" s="475">
        <f>'Master Assumptions'!K333</f>
        <v>0.9</v>
      </c>
      <c r="T125" s="475">
        <f>'Master Assumptions'!L333</f>
        <v>0.9</v>
      </c>
      <c r="U125" s="475">
        <f>'Master Assumptions'!M333</f>
        <v>0.9</v>
      </c>
      <c r="V125" s="174"/>
      <c r="W125" s="46"/>
      <c r="X125" s="70"/>
    </row>
    <row r="126" spans="1:24" outlineLevel="1">
      <c r="A126" s="1"/>
      <c r="E126" s="41"/>
      <c r="F126" s="21"/>
      <c r="G126" s="21"/>
      <c r="H126" s="1196"/>
      <c r="I126" s="173" t="str">
        <f>A132</f>
        <v>Processing</v>
      </c>
      <c r="J126" s="475">
        <f>'Master Assumptions'!B334</f>
        <v>0.9</v>
      </c>
      <c r="K126" s="475">
        <f>'Master Assumptions'!C334</f>
        <v>0.9</v>
      </c>
      <c r="L126" s="475">
        <f>'Master Assumptions'!D334</f>
        <v>0.9</v>
      </c>
      <c r="M126" s="475">
        <f>'Master Assumptions'!E334</f>
        <v>0.9</v>
      </c>
      <c r="N126" s="475">
        <f>'Master Assumptions'!F334</f>
        <v>0.9</v>
      </c>
      <c r="O126" s="475">
        <f>'Master Assumptions'!G334</f>
        <v>0.9</v>
      </c>
      <c r="P126" s="475">
        <f>'Master Assumptions'!H334</f>
        <v>0.9</v>
      </c>
      <c r="Q126" s="475">
        <f>'Master Assumptions'!I334</f>
        <v>0.9</v>
      </c>
      <c r="R126" s="475">
        <f>'Master Assumptions'!J334</f>
        <v>0.9</v>
      </c>
      <c r="S126" s="475">
        <f>'Master Assumptions'!K334</f>
        <v>0.9</v>
      </c>
      <c r="T126" s="475">
        <f>'Master Assumptions'!L334</f>
        <v>0.9</v>
      </c>
      <c r="U126" s="475">
        <f>'Master Assumptions'!M334</f>
        <v>0.9</v>
      </c>
      <c r="V126" s="174"/>
      <c r="W126" s="46"/>
      <c r="X126" s="70"/>
    </row>
    <row r="127" spans="1:24" outlineLevel="1">
      <c r="A127" s="1"/>
      <c r="E127" s="41"/>
      <c r="F127" s="21"/>
      <c r="G127" s="21"/>
      <c r="H127" s="1196"/>
      <c r="I127" s="175" t="str">
        <f>A133</f>
        <v>Others</v>
      </c>
      <c r="J127" s="476">
        <f>'Master Assumptions'!B335</f>
        <v>0.9</v>
      </c>
      <c r="K127" s="476">
        <f>'Master Assumptions'!C335</f>
        <v>0.9</v>
      </c>
      <c r="L127" s="476">
        <f>'Master Assumptions'!D335</f>
        <v>0.9</v>
      </c>
      <c r="M127" s="476">
        <f>'Master Assumptions'!E335</f>
        <v>0.9</v>
      </c>
      <c r="N127" s="476">
        <f>'Master Assumptions'!F335</f>
        <v>0.9</v>
      </c>
      <c r="O127" s="476">
        <f>'Master Assumptions'!G335</f>
        <v>0.9</v>
      </c>
      <c r="P127" s="476">
        <f>'Master Assumptions'!H335</f>
        <v>0.9</v>
      </c>
      <c r="Q127" s="476">
        <f>'Master Assumptions'!I335</f>
        <v>0.9</v>
      </c>
      <c r="R127" s="476">
        <f>'Master Assumptions'!J335</f>
        <v>0.9</v>
      </c>
      <c r="S127" s="476">
        <f>'Master Assumptions'!K335</f>
        <v>0.9</v>
      </c>
      <c r="T127" s="476">
        <f>'Master Assumptions'!L335</f>
        <v>0.9</v>
      </c>
      <c r="U127" s="476">
        <f>'Master Assumptions'!M335</f>
        <v>0.9</v>
      </c>
      <c r="V127" s="176"/>
      <c r="W127" s="46"/>
      <c r="X127" s="70"/>
    </row>
    <row r="128" spans="1:24">
      <c r="A128" s="1"/>
      <c r="C128" s="107"/>
      <c r="E128" s="41"/>
      <c r="F128" s="21"/>
      <c r="G128" s="21"/>
      <c r="I128" s="6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46"/>
      <c r="X128" s="70"/>
    </row>
    <row r="129" spans="1:24" ht="15" customHeight="1">
      <c r="A129" s="5" t="str">
        <f>A101</f>
        <v>Inputs</v>
      </c>
      <c r="B129" s="5"/>
      <c r="C129" s="107"/>
      <c r="E129" s="111"/>
      <c r="F129" s="482"/>
      <c r="G129" s="101"/>
      <c r="I129" s="6"/>
      <c r="J129" s="6">
        <f t="shared" ref="J129:U129" si="68">J123*J31</f>
        <v>768730.26150000002</v>
      </c>
      <c r="K129" s="6">
        <f t="shared" si="68"/>
        <v>768820.22550000006</v>
      </c>
      <c r="L129" s="6">
        <f t="shared" si="68"/>
        <v>840717.55350000004</v>
      </c>
      <c r="M129" s="6">
        <f t="shared" si="68"/>
        <v>1099091.196</v>
      </c>
      <c r="N129" s="6">
        <f t="shared" si="68"/>
        <v>979569.17099999997</v>
      </c>
      <c r="O129" s="6">
        <f t="shared" si="68"/>
        <v>1055001.4785</v>
      </c>
      <c r="P129" s="6">
        <f t="shared" si="68"/>
        <v>868724.92350000003</v>
      </c>
      <c r="Q129" s="6">
        <f t="shared" si="68"/>
        <v>871714.6335</v>
      </c>
      <c r="R129" s="6">
        <f t="shared" si="68"/>
        <v>396599.85675000004</v>
      </c>
      <c r="S129" s="6">
        <f t="shared" si="68"/>
        <v>759755.16674999997</v>
      </c>
      <c r="T129" s="6">
        <f t="shared" si="68"/>
        <v>437915.16674999997</v>
      </c>
      <c r="U129" s="6">
        <f t="shared" si="68"/>
        <v>491555.16674999997</v>
      </c>
      <c r="V129" s="9">
        <f>SUM(J129:U129)</f>
        <v>9338194.8000000026</v>
      </c>
      <c r="W129" s="46">
        <f t="shared" ref="W129:W160" si="69">SUM(J129:V129)/2-V129</f>
        <v>0</v>
      </c>
      <c r="X129" s="70"/>
    </row>
    <row r="130" spans="1:24" ht="15" customHeight="1">
      <c r="A130" s="5" t="str">
        <f t="shared" ref="A130:A133" si="70">A102</f>
        <v>Output</v>
      </c>
      <c r="B130" s="5"/>
      <c r="C130" s="107"/>
      <c r="E130" s="111"/>
      <c r="F130" s="482"/>
      <c r="G130" s="101"/>
      <c r="I130" s="6"/>
      <c r="J130" s="6">
        <f t="shared" ref="J130:U130" si="71">J124*J32</f>
        <v>16961672.16</v>
      </c>
      <c r="K130" s="6">
        <f t="shared" si="71"/>
        <v>16961672.16</v>
      </c>
      <c r="L130" s="6">
        <f t="shared" si="71"/>
        <v>16961672.16</v>
      </c>
      <c r="M130" s="6">
        <f t="shared" si="71"/>
        <v>18736904.16</v>
      </c>
      <c r="N130" s="6">
        <f t="shared" si="71"/>
        <v>27551180.16</v>
      </c>
      <c r="O130" s="6">
        <f t="shared" si="71"/>
        <v>30302300.160000008</v>
      </c>
      <c r="P130" s="6">
        <f t="shared" si="71"/>
        <v>22896704.16</v>
      </c>
      <c r="Q130" s="6">
        <f t="shared" si="71"/>
        <v>23872592.16</v>
      </c>
      <c r="R130" s="6">
        <f t="shared" si="71"/>
        <v>8480836.0800000001</v>
      </c>
      <c r="S130" s="6">
        <f t="shared" si="71"/>
        <v>20496196.080000002</v>
      </c>
      <c r="T130" s="6">
        <f t="shared" si="71"/>
        <v>10197316.08</v>
      </c>
      <c r="U130" s="6">
        <f t="shared" si="71"/>
        <v>11913796.08</v>
      </c>
      <c r="V130" s="9">
        <f t="shared" ref="V130:V133" si="72">SUM(J130:U130)</f>
        <v>225332841.60000005</v>
      </c>
      <c r="W130" s="46">
        <f t="shared" si="69"/>
        <v>0</v>
      </c>
      <c r="X130" s="70"/>
    </row>
    <row r="131" spans="1:24" ht="15" customHeight="1">
      <c r="A131" s="5" t="str">
        <f t="shared" si="70"/>
        <v>Services</v>
      </c>
      <c r="B131" s="5"/>
      <c r="C131" s="107"/>
      <c r="E131" s="111"/>
      <c r="F131" s="482"/>
      <c r="G131" s="101"/>
      <c r="I131" s="6"/>
      <c r="J131" s="6">
        <f t="shared" ref="J131:U131" si="73">J125*J33</f>
        <v>0</v>
      </c>
      <c r="K131" s="6">
        <f t="shared" si="73"/>
        <v>0</v>
      </c>
      <c r="L131" s="6">
        <f t="shared" si="73"/>
        <v>0</v>
      </c>
      <c r="M131" s="6">
        <f t="shared" si="73"/>
        <v>0</v>
      </c>
      <c r="N131" s="6">
        <f t="shared" si="73"/>
        <v>0</v>
      </c>
      <c r="O131" s="6">
        <f t="shared" si="73"/>
        <v>0</v>
      </c>
      <c r="P131" s="6">
        <f t="shared" si="73"/>
        <v>0</v>
      </c>
      <c r="Q131" s="6">
        <f t="shared" si="73"/>
        <v>0</v>
      </c>
      <c r="R131" s="6">
        <f t="shared" si="73"/>
        <v>0</v>
      </c>
      <c r="S131" s="6">
        <f t="shared" si="73"/>
        <v>0</v>
      </c>
      <c r="T131" s="6">
        <f t="shared" si="73"/>
        <v>0</v>
      </c>
      <c r="U131" s="6">
        <f t="shared" si="73"/>
        <v>0</v>
      </c>
      <c r="V131" s="9">
        <f t="shared" si="72"/>
        <v>0</v>
      </c>
      <c r="W131" s="46">
        <f t="shared" si="69"/>
        <v>0</v>
      </c>
      <c r="X131" s="70"/>
    </row>
    <row r="132" spans="1:24" ht="15" customHeight="1">
      <c r="A132" s="5" t="str">
        <f t="shared" si="70"/>
        <v>Processing</v>
      </c>
      <c r="B132" s="5"/>
      <c r="C132" s="107"/>
      <c r="E132" s="111"/>
      <c r="F132" s="482"/>
      <c r="G132" s="101"/>
      <c r="I132" s="6"/>
      <c r="J132" s="6">
        <f t="shared" ref="J132:U132" si="74">J126*J34</f>
        <v>0</v>
      </c>
      <c r="K132" s="6">
        <f t="shared" si="74"/>
        <v>0</v>
      </c>
      <c r="L132" s="6">
        <f t="shared" si="74"/>
        <v>1028160</v>
      </c>
      <c r="M132" s="6">
        <f t="shared" si="74"/>
        <v>435686.40000000002</v>
      </c>
      <c r="N132" s="6">
        <f t="shared" si="74"/>
        <v>1699941.6</v>
      </c>
      <c r="O132" s="6">
        <f t="shared" si="74"/>
        <v>1566878.4000000001</v>
      </c>
      <c r="P132" s="6">
        <f t="shared" si="74"/>
        <v>563241.6</v>
      </c>
      <c r="Q132" s="6">
        <f t="shared" si="74"/>
        <v>435132</v>
      </c>
      <c r="R132" s="6">
        <f t="shared" si="74"/>
        <v>0</v>
      </c>
      <c r="S132" s="6">
        <f t="shared" si="74"/>
        <v>0</v>
      </c>
      <c r="T132" s="6">
        <f t="shared" si="74"/>
        <v>0</v>
      </c>
      <c r="U132" s="6">
        <f t="shared" si="74"/>
        <v>0</v>
      </c>
      <c r="V132" s="9">
        <f t="shared" si="72"/>
        <v>5729040</v>
      </c>
      <c r="W132" s="46">
        <f t="shared" si="69"/>
        <v>0</v>
      </c>
      <c r="X132" s="70"/>
    </row>
    <row r="133" spans="1:24" ht="15" customHeight="1">
      <c r="A133" s="5" t="str">
        <f t="shared" si="70"/>
        <v>Others</v>
      </c>
      <c r="B133" s="5"/>
      <c r="C133" s="107"/>
      <c r="E133" s="111"/>
      <c r="F133" s="482"/>
      <c r="G133" s="101"/>
      <c r="I133" s="6"/>
      <c r="J133" s="6">
        <f t="shared" ref="J133:U133" si="75">J127*J35</f>
        <v>0</v>
      </c>
      <c r="K133" s="6">
        <f t="shared" si="75"/>
        <v>0</v>
      </c>
      <c r="L133" s="6">
        <f t="shared" si="75"/>
        <v>0</v>
      </c>
      <c r="M133" s="6">
        <f t="shared" si="75"/>
        <v>0</v>
      </c>
      <c r="N133" s="6">
        <f t="shared" si="75"/>
        <v>0</v>
      </c>
      <c r="O133" s="6">
        <f t="shared" si="75"/>
        <v>0</v>
      </c>
      <c r="P133" s="6">
        <f t="shared" si="75"/>
        <v>0</v>
      </c>
      <c r="Q133" s="6">
        <f t="shared" si="75"/>
        <v>0</v>
      </c>
      <c r="R133" s="6">
        <f t="shared" si="75"/>
        <v>0</v>
      </c>
      <c r="S133" s="6">
        <f t="shared" si="75"/>
        <v>0</v>
      </c>
      <c r="T133" s="6">
        <f t="shared" si="75"/>
        <v>0</v>
      </c>
      <c r="U133" s="6">
        <f t="shared" si="75"/>
        <v>0</v>
      </c>
      <c r="V133" s="9">
        <f t="shared" si="72"/>
        <v>0</v>
      </c>
      <c r="W133" s="46">
        <f t="shared" si="69"/>
        <v>0</v>
      </c>
      <c r="X133" s="70"/>
    </row>
    <row r="134" spans="1:24" ht="7.15" customHeight="1">
      <c r="A134" s="33"/>
      <c r="B134" s="34"/>
      <c r="C134" s="34"/>
      <c r="D134" s="34"/>
      <c r="E134" s="266"/>
      <c r="F134" s="266"/>
      <c r="G134" s="34"/>
      <c r="H134" s="34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X134" s="70"/>
    </row>
    <row r="135" spans="1:24">
      <c r="A135" s="1" t="s">
        <v>70</v>
      </c>
      <c r="E135" s="41" t="s">
        <v>66</v>
      </c>
      <c r="I135" s="6"/>
      <c r="J135" s="9">
        <f>SUM(J136:J140)</f>
        <v>1970044.7134999982</v>
      </c>
      <c r="K135" s="9">
        <f t="shared" ref="K135:V135" si="76">SUM(K136:K140)</f>
        <v>1970054.7094999985</v>
      </c>
      <c r="L135" s="9">
        <f t="shared" si="76"/>
        <v>2092283.3014999982</v>
      </c>
      <c r="M135" s="9">
        <f t="shared" si="76"/>
        <v>2252409.0839999984</v>
      </c>
      <c r="N135" s="9">
        <f t="shared" si="76"/>
        <v>3358965.6589999981</v>
      </c>
      <c r="O135" s="9">
        <f t="shared" si="76"/>
        <v>3658242.226499998</v>
      </c>
      <c r="P135" s="9">
        <f t="shared" si="76"/>
        <v>2703185.6314999983</v>
      </c>
      <c r="Q135" s="9">
        <f t="shared" si="76"/>
        <v>2797715.4214999983</v>
      </c>
      <c r="R135" s="9">
        <f t="shared" si="76"/>
        <v>986381.77074999921</v>
      </c>
      <c r="S135" s="9">
        <f t="shared" si="76"/>
        <v>2361772.3607500009</v>
      </c>
      <c r="T135" s="9">
        <f t="shared" si="76"/>
        <v>1181692.3607499991</v>
      </c>
      <c r="U135" s="9">
        <f t="shared" si="76"/>
        <v>1378372.3607499991</v>
      </c>
      <c r="V135" s="9">
        <f t="shared" si="76"/>
        <v>26711119.599999983</v>
      </c>
      <c r="W135" s="46">
        <f t="shared" si="69"/>
        <v>0</v>
      </c>
      <c r="X135" s="70"/>
    </row>
    <row r="136" spans="1:24">
      <c r="A136" s="5" t="str">
        <f>A129</f>
        <v>Inputs</v>
      </c>
      <c r="D136" s="21"/>
      <c r="E136" s="483">
        <f>'Master Assumptions'!C314</f>
        <v>30</v>
      </c>
      <c r="F136" s="200" t="s">
        <v>20</v>
      </c>
      <c r="I136" s="6"/>
      <c r="J136" s="37">
        <f t="shared" ref="J136:U136" si="77">J31-J129</f>
        <v>85414.473499999964</v>
      </c>
      <c r="K136" s="37">
        <f t="shared" si="77"/>
        <v>85424.469500000007</v>
      </c>
      <c r="L136" s="37">
        <f t="shared" si="77"/>
        <v>93413.061499999953</v>
      </c>
      <c r="M136" s="37">
        <f t="shared" si="77"/>
        <v>122121.24399999995</v>
      </c>
      <c r="N136" s="37">
        <f t="shared" si="77"/>
        <v>108841.01899999997</v>
      </c>
      <c r="O136" s="37">
        <f t="shared" si="77"/>
        <v>117222.38650000002</v>
      </c>
      <c r="P136" s="37">
        <f t="shared" si="77"/>
        <v>96524.991500000004</v>
      </c>
      <c r="Q136" s="37">
        <f t="shared" si="77"/>
        <v>96857.181499999948</v>
      </c>
      <c r="R136" s="37">
        <f t="shared" si="77"/>
        <v>44066.650749999972</v>
      </c>
      <c r="S136" s="37">
        <f t="shared" si="77"/>
        <v>84417.240749999997</v>
      </c>
      <c r="T136" s="37">
        <f t="shared" si="77"/>
        <v>48657.240749999997</v>
      </c>
      <c r="U136" s="37">
        <f t="shared" si="77"/>
        <v>54617.240749999997</v>
      </c>
      <c r="V136" s="9">
        <f>SUM(J136:U136)</f>
        <v>1037577.1999999998</v>
      </c>
      <c r="W136" s="46">
        <f t="shared" si="69"/>
        <v>0</v>
      </c>
      <c r="X136" s="70"/>
    </row>
    <row r="137" spans="1:24">
      <c r="A137" s="5" t="str">
        <f t="shared" ref="A137:A140" si="78">A130</f>
        <v>Output</v>
      </c>
      <c r="D137" s="21"/>
      <c r="E137" s="483">
        <f>'Master Assumptions'!C315</f>
        <v>30</v>
      </c>
      <c r="F137" s="200" t="s">
        <v>20</v>
      </c>
      <c r="I137" s="6"/>
      <c r="J137" s="37">
        <f t="shared" ref="J137:U137" si="79">J32-J130</f>
        <v>1884630.2399999984</v>
      </c>
      <c r="K137" s="37">
        <f t="shared" si="79"/>
        <v>1884630.2399999984</v>
      </c>
      <c r="L137" s="37">
        <f t="shared" si="79"/>
        <v>1884630.2399999984</v>
      </c>
      <c r="M137" s="37">
        <f t="shared" si="79"/>
        <v>2081878.2399999984</v>
      </c>
      <c r="N137" s="37">
        <f t="shared" si="79"/>
        <v>3061242.2399999984</v>
      </c>
      <c r="O137" s="37">
        <f t="shared" si="79"/>
        <v>3366922.2399999984</v>
      </c>
      <c r="P137" s="37">
        <f t="shared" si="79"/>
        <v>2544078.2399999984</v>
      </c>
      <c r="Q137" s="37">
        <f t="shared" si="79"/>
        <v>2652510.2399999984</v>
      </c>
      <c r="R137" s="37">
        <f t="shared" si="79"/>
        <v>942315.11999999918</v>
      </c>
      <c r="S137" s="37">
        <f t="shared" si="79"/>
        <v>2277355.120000001</v>
      </c>
      <c r="T137" s="37">
        <f t="shared" si="79"/>
        <v>1133035.1199999992</v>
      </c>
      <c r="U137" s="37">
        <f t="shared" si="79"/>
        <v>1323755.1199999992</v>
      </c>
      <c r="V137" s="9">
        <f t="shared" ref="V137:V140" si="80">SUM(J137:U137)</f>
        <v>25036982.399999984</v>
      </c>
      <c r="W137" s="46">
        <f t="shared" si="69"/>
        <v>0</v>
      </c>
      <c r="X137" s="70"/>
    </row>
    <row r="138" spans="1:24">
      <c r="A138" s="5" t="str">
        <f t="shared" si="78"/>
        <v>Services</v>
      </c>
      <c r="D138" s="21"/>
      <c r="E138" s="483">
        <f>'Master Assumptions'!C316</f>
        <v>30</v>
      </c>
      <c r="F138" s="200" t="s">
        <v>20</v>
      </c>
      <c r="I138" s="6"/>
      <c r="J138" s="37">
        <v>0</v>
      </c>
      <c r="K138" s="37">
        <v>0</v>
      </c>
      <c r="L138" s="37">
        <v>0</v>
      </c>
      <c r="M138" s="37">
        <v>0</v>
      </c>
      <c r="N138" s="37">
        <v>0</v>
      </c>
      <c r="O138" s="37">
        <v>0</v>
      </c>
      <c r="P138" s="37">
        <v>0</v>
      </c>
      <c r="Q138" s="37">
        <v>0</v>
      </c>
      <c r="R138" s="37">
        <v>0</v>
      </c>
      <c r="S138" s="37">
        <v>0</v>
      </c>
      <c r="T138" s="37">
        <v>0</v>
      </c>
      <c r="U138" s="37">
        <v>0</v>
      </c>
      <c r="V138" s="9">
        <f t="shared" si="80"/>
        <v>0</v>
      </c>
      <c r="W138" s="46">
        <f t="shared" si="69"/>
        <v>0</v>
      </c>
      <c r="X138" s="70"/>
    </row>
    <row r="139" spans="1:24">
      <c r="A139" s="5" t="str">
        <f t="shared" si="78"/>
        <v>Processing</v>
      </c>
      <c r="D139" s="21"/>
      <c r="E139" s="483">
        <f>'Master Assumptions'!C317</f>
        <v>30</v>
      </c>
      <c r="F139" s="200" t="s">
        <v>20</v>
      </c>
      <c r="I139" s="6"/>
      <c r="J139" s="37">
        <f t="shared" ref="J139:U139" si="81">J34-J132</f>
        <v>0</v>
      </c>
      <c r="K139" s="37">
        <f t="shared" si="81"/>
        <v>0</v>
      </c>
      <c r="L139" s="37">
        <f t="shared" si="81"/>
        <v>114240</v>
      </c>
      <c r="M139" s="37">
        <f t="shared" si="81"/>
        <v>48409.599999999977</v>
      </c>
      <c r="N139" s="37">
        <f t="shared" si="81"/>
        <v>188882.39999999991</v>
      </c>
      <c r="O139" s="37">
        <f t="shared" si="81"/>
        <v>174097.59999999986</v>
      </c>
      <c r="P139" s="37">
        <f t="shared" si="81"/>
        <v>62582.400000000023</v>
      </c>
      <c r="Q139" s="37">
        <f t="shared" si="81"/>
        <v>48348</v>
      </c>
      <c r="R139" s="37">
        <f t="shared" si="81"/>
        <v>0</v>
      </c>
      <c r="S139" s="37">
        <f t="shared" si="81"/>
        <v>0</v>
      </c>
      <c r="T139" s="37">
        <f t="shared" si="81"/>
        <v>0</v>
      </c>
      <c r="U139" s="37">
        <f t="shared" si="81"/>
        <v>0</v>
      </c>
      <c r="V139" s="9">
        <f t="shared" si="80"/>
        <v>636559.99999999977</v>
      </c>
      <c r="W139" s="46">
        <f t="shared" si="69"/>
        <v>0</v>
      </c>
      <c r="X139" s="70"/>
    </row>
    <row r="140" spans="1:24">
      <c r="A140" s="5" t="str">
        <f t="shared" si="78"/>
        <v>Others</v>
      </c>
      <c r="D140" s="21"/>
      <c r="E140" s="483">
        <f>'Master Assumptions'!C318</f>
        <v>30</v>
      </c>
      <c r="F140" s="200" t="s">
        <v>20</v>
      </c>
      <c r="I140" s="6"/>
      <c r="J140" s="37">
        <f t="shared" ref="J140:U140" si="82">J35-J133</f>
        <v>0</v>
      </c>
      <c r="K140" s="37">
        <f t="shared" si="82"/>
        <v>0</v>
      </c>
      <c r="L140" s="37">
        <f t="shared" si="82"/>
        <v>0</v>
      </c>
      <c r="M140" s="37">
        <f t="shared" si="82"/>
        <v>0</v>
      </c>
      <c r="N140" s="37">
        <f t="shared" si="82"/>
        <v>0</v>
      </c>
      <c r="O140" s="37">
        <f t="shared" si="82"/>
        <v>0</v>
      </c>
      <c r="P140" s="37">
        <f t="shared" si="82"/>
        <v>0</v>
      </c>
      <c r="Q140" s="37">
        <f t="shared" si="82"/>
        <v>0</v>
      </c>
      <c r="R140" s="37">
        <f t="shared" si="82"/>
        <v>0</v>
      </c>
      <c r="S140" s="37">
        <f t="shared" si="82"/>
        <v>0</v>
      </c>
      <c r="T140" s="37">
        <f t="shared" si="82"/>
        <v>0</v>
      </c>
      <c r="U140" s="37">
        <f t="shared" si="82"/>
        <v>0</v>
      </c>
      <c r="V140" s="9">
        <f t="shared" si="80"/>
        <v>0</v>
      </c>
      <c r="W140" s="46">
        <f t="shared" si="69"/>
        <v>0</v>
      </c>
      <c r="X140" s="70"/>
    </row>
    <row r="141" spans="1:24"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X141" s="70"/>
    </row>
    <row r="142" spans="1:24">
      <c r="A142" s="1" t="s">
        <v>72</v>
      </c>
      <c r="I142" s="6"/>
      <c r="J142" s="9">
        <f ca="1">SUM(J143:J147)</f>
        <v>0</v>
      </c>
      <c r="K142" s="9">
        <f t="shared" ref="K142" ca="1" si="83">SUM(K143:K147)</f>
        <v>1970044.7134999982</v>
      </c>
      <c r="L142" s="9">
        <f t="shared" ref="L142" ca="1" si="84">SUM(L143:L147)</f>
        <v>1970054.7094999985</v>
      </c>
      <c r="M142" s="9">
        <f t="shared" ref="M142" ca="1" si="85">SUM(M143:M147)</f>
        <v>2092283.3014999982</v>
      </c>
      <c r="N142" s="9">
        <f t="shared" ref="N142" ca="1" si="86">SUM(N143:N147)</f>
        <v>2252409.0839999984</v>
      </c>
      <c r="O142" s="9">
        <f t="shared" ref="O142" ca="1" si="87">SUM(O143:O147)</f>
        <v>3358965.6589999981</v>
      </c>
      <c r="P142" s="9">
        <f t="shared" ref="P142" ca="1" si="88">SUM(P143:P147)</f>
        <v>3658242.226499998</v>
      </c>
      <c r="Q142" s="9">
        <f t="shared" ref="Q142" ca="1" si="89">SUM(Q143:Q147)</f>
        <v>2703185.6314999983</v>
      </c>
      <c r="R142" s="9">
        <f t="shared" ref="R142" ca="1" si="90">SUM(R143:R147)</f>
        <v>2797715.4214999983</v>
      </c>
      <c r="S142" s="9">
        <f t="shared" ref="S142" ca="1" si="91">SUM(S143:S147)</f>
        <v>986381.77074999921</v>
      </c>
      <c r="T142" s="9">
        <f t="shared" ref="T142" ca="1" si="92">SUM(T143:T147)</f>
        <v>2361772.3607500009</v>
      </c>
      <c r="U142" s="9">
        <f t="shared" ref="U142" ca="1" si="93">SUM(U143:U147)</f>
        <v>1181692.3607499991</v>
      </c>
      <c r="V142" s="9">
        <f t="shared" ref="V142" ca="1" si="94">SUM(V143:V147)</f>
        <v>25332747.239249986</v>
      </c>
      <c r="W142" s="46">
        <f t="shared" ca="1" si="69"/>
        <v>0</v>
      </c>
      <c r="X142" s="70"/>
    </row>
    <row r="143" spans="1:24">
      <c r="A143" s="5" t="str">
        <f>A136</f>
        <v>Inputs</v>
      </c>
      <c r="I143" s="6"/>
      <c r="J143" s="37">
        <f ca="1">OFFSET(J136,0,VLOOKUP($E136,CreditDaysT[],2,FALSE))</f>
        <v>0</v>
      </c>
      <c r="K143" s="37">
        <f ca="1">OFFSET(K136,0,VLOOKUP($E136,CreditDaysT[],2,FALSE))</f>
        <v>85414.473499999964</v>
      </c>
      <c r="L143" s="37">
        <f ca="1">OFFSET(L136,0,VLOOKUP($E136,CreditDaysT[],2,FALSE))</f>
        <v>85424.469500000007</v>
      </c>
      <c r="M143" s="37">
        <f ca="1">OFFSET(M136,0,VLOOKUP($E136,CreditDaysT[],2,FALSE))</f>
        <v>93413.061499999953</v>
      </c>
      <c r="N143" s="37">
        <f ca="1">OFFSET(N136,0,VLOOKUP($E136,CreditDaysT[],2,FALSE))</f>
        <v>122121.24399999995</v>
      </c>
      <c r="O143" s="37">
        <f ca="1">OFFSET(O136,0,VLOOKUP($E136,CreditDaysT[],2,FALSE))</f>
        <v>108841.01899999997</v>
      </c>
      <c r="P143" s="37">
        <f ca="1">OFFSET(P136,0,VLOOKUP($E136,CreditDaysT[],2,FALSE))</f>
        <v>117222.38650000002</v>
      </c>
      <c r="Q143" s="37">
        <f ca="1">OFFSET(Q136,0,VLOOKUP($E136,CreditDaysT[],2,FALSE))</f>
        <v>96524.991500000004</v>
      </c>
      <c r="R143" s="37">
        <f ca="1">OFFSET(R136,0,VLOOKUP($E136,CreditDaysT[],2,FALSE))</f>
        <v>96857.181499999948</v>
      </c>
      <c r="S143" s="37">
        <f ca="1">OFFSET(S136,0,VLOOKUP($E136,CreditDaysT[],2,FALSE))</f>
        <v>44066.650749999972</v>
      </c>
      <c r="T143" s="37">
        <f ca="1">OFFSET(T136,0,VLOOKUP($E136,CreditDaysT[],2,FALSE))</f>
        <v>84417.240749999997</v>
      </c>
      <c r="U143" s="37">
        <f ca="1">OFFSET(U136,0,VLOOKUP($E136,CreditDaysT[],2,FALSE))</f>
        <v>48657.240749999997</v>
      </c>
      <c r="V143" s="39">
        <f ca="1">SUM(J143:U143)</f>
        <v>982959.95924999984</v>
      </c>
      <c r="W143" s="46">
        <f t="shared" ca="1" si="69"/>
        <v>0</v>
      </c>
      <c r="X143" s="70"/>
    </row>
    <row r="144" spans="1:24">
      <c r="A144" s="5" t="str">
        <f t="shared" ref="A144:A147" si="95">A137</f>
        <v>Output</v>
      </c>
      <c r="I144" s="6"/>
      <c r="J144" s="37">
        <f ca="1">OFFSET(J137,0,VLOOKUP($E137,CreditDaysT[],2,FALSE))</f>
        <v>0</v>
      </c>
      <c r="K144" s="37">
        <f ca="1">OFFSET(K137,0,VLOOKUP($E137,CreditDaysT[],2,FALSE))</f>
        <v>1884630.2399999984</v>
      </c>
      <c r="L144" s="37">
        <f ca="1">OFFSET(L137,0,VLOOKUP($E137,CreditDaysT[],2,FALSE))</f>
        <v>1884630.2399999984</v>
      </c>
      <c r="M144" s="37">
        <f ca="1">OFFSET(M137,0,VLOOKUP($E137,CreditDaysT[],2,FALSE))</f>
        <v>1884630.2399999984</v>
      </c>
      <c r="N144" s="37">
        <f ca="1">OFFSET(N137,0,VLOOKUP($E137,CreditDaysT[],2,FALSE))</f>
        <v>2081878.2399999984</v>
      </c>
      <c r="O144" s="37">
        <f ca="1">OFFSET(O137,0,VLOOKUP($E137,CreditDaysT[],2,FALSE))</f>
        <v>3061242.2399999984</v>
      </c>
      <c r="P144" s="37">
        <f ca="1">OFFSET(P137,0,VLOOKUP($E137,CreditDaysT[],2,FALSE))</f>
        <v>3366922.2399999984</v>
      </c>
      <c r="Q144" s="37">
        <f ca="1">OFFSET(Q137,0,VLOOKUP($E137,CreditDaysT[],2,FALSE))</f>
        <v>2544078.2399999984</v>
      </c>
      <c r="R144" s="37">
        <f ca="1">OFFSET(R137,0,VLOOKUP($E137,CreditDaysT[],2,FALSE))</f>
        <v>2652510.2399999984</v>
      </c>
      <c r="S144" s="37">
        <f ca="1">OFFSET(S137,0,VLOOKUP($E137,CreditDaysT[],2,FALSE))</f>
        <v>942315.11999999918</v>
      </c>
      <c r="T144" s="37">
        <f ca="1">OFFSET(T137,0,VLOOKUP($E137,CreditDaysT[],2,FALSE))</f>
        <v>2277355.120000001</v>
      </c>
      <c r="U144" s="37">
        <f ca="1">OFFSET(U137,0,VLOOKUP($E137,CreditDaysT[],2,FALSE))</f>
        <v>1133035.1199999992</v>
      </c>
      <c r="V144" s="39">
        <f t="shared" ref="V144:V147" ca="1" si="96">SUM(J144:U144)</f>
        <v>23713227.279999986</v>
      </c>
      <c r="W144" s="46">
        <f t="shared" ca="1" si="69"/>
        <v>0</v>
      </c>
      <c r="X144" s="70"/>
    </row>
    <row r="145" spans="1:24">
      <c r="A145" s="5" t="str">
        <f t="shared" si="95"/>
        <v>Services</v>
      </c>
      <c r="I145" s="6"/>
      <c r="J145" s="37">
        <f ca="1">OFFSET(J138,0,VLOOKUP($E138,CreditDaysT[],2,FALSE))</f>
        <v>0</v>
      </c>
      <c r="K145" s="37">
        <f ca="1">OFFSET(K138,0,VLOOKUP($E138,CreditDaysT[],2,FALSE))</f>
        <v>0</v>
      </c>
      <c r="L145" s="37">
        <f ca="1">OFFSET(L138,0,VLOOKUP($E138,CreditDaysT[],2,FALSE))</f>
        <v>0</v>
      </c>
      <c r="M145" s="37">
        <f ca="1">OFFSET(M138,0,VLOOKUP($E138,CreditDaysT[],2,FALSE))</f>
        <v>0</v>
      </c>
      <c r="N145" s="37">
        <f ca="1">OFFSET(N138,0,VLOOKUP($E138,CreditDaysT[],2,FALSE))</f>
        <v>0</v>
      </c>
      <c r="O145" s="37">
        <f ca="1">OFFSET(O138,0,VLOOKUP($E138,CreditDaysT[],2,FALSE))</f>
        <v>0</v>
      </c>
      <c r="P145" s="37">
        <f ca="1">OFFSET(P138,0,VLOOKUP($E138,CreditDaysT[],2,FALSE))</f>
        <v>0</v>
      </c>
      <c r="Q145" s="37">
        <f ca="1">OFFSET(Q138,0,VLOOKUP($E138,CreditDaysT[],2,FALSE))</f>
        <v>0</v>
      </c>
      <c r="R145" s="37">
        <f ca="1">OFFSET(R138,0,VLOOKUP($E138,CreditDaysT[],2,FALSE))</f>
        <v>0</v>
      </c>
      <c r="S145" s="37">
        <f ca="1">OFFSET(S138,0,VLOOKUP($E138,CreditDaysT[],2,FALSE))</f>
        <v>0</v>
      </c>
      <c r="T145" s="37">
        <f ca="1">OFFSET(T138,0,VLOOKUP($E138,CreditDaysT[],2,FALSE))</f>
        <v>0</v>
      </c>
      <c r="U145" s="37">
        <f ca="1">OFFSET(U138,0,VLOOKUP($E138,CreditDaysT[],2,FALSE))</f>
        <v>0</v>
      </c>
      <c r="V145" s="39">
        <f t="shared" ca="1" si="96"/>
        <v>0</v>
      </c>
      <c r="W145" s="46">
        <f t="shared" ca="1" si="69"/>
        <v>0</v>
      </c>
      <c r="X145" s="70"/>
    </row>
    <row r="146" spans="1:24">
      <c r="A146" s="5" t="str">
        <f t="shared" si="95"/>
        <v>Processing</v>
      </c>
      <c r="I146" s="6"/>
      <c r="J146" s="37">
        <f ca="1">OFFSET(J139,0,VLOOKUP($E139,CreditDaysT[],2,FALSE))</f>
        <v>0</v>
      </c>
      <c r="K146" s="37">
        <f ca="1">OFFSET(K139,0,VLOOKUP($E139,CreditDaysT[],2,FALSE))</f>
        <v>0</v>
      </c>
      <c r="L146" s="37">
        <f ca="1">OFFSET(L139,0,VLOOKUP($E139,CreditDaysT[],2,FALSE))</f>
        <v>0</v>
      </c>
      <c r="M146" s="37">
        <f ca="1">OFFSET(M139,0,VLOOKUP($E139,CreditDaysT[],2,FALSE))</f>
        <v>114240</v>
      </c>
      <c r="N146" s="37">
        <f ca="1">OFFSET(N139,0,VLOOKUP($E139,CreditDaysT[],2,FALSE))</f>
        <v>48409.599999999977</v>
      </c>
      <c r="O146" s="37">
        <f ca="1">OFFSET(O139,0,VLOOKUP($E139,CreditDaysT[],2,FALSE))</f>
        <v>188882.39999999991</v>
      </c>
      <c r="P146" s="37">
        <f ca="1">OFFSET(P139,0,VLOOKUP($E139,CreditDaysT[],2,FALSE))</f>
        <v>174097.59999999986</v>
      </c>
      <c r="Q146" s="37">
        <f ca="1">OFFSET(Q139,0,VLOOKUP($E139,CreditDaysT[],2,FALSE))</f>
        <v>62582.400000000023</v>
      </c>
      <c r="R146" s="37">
        <f ca="1">OFFSET(R139,0,VLOOKUP($E139,CreditDaysT[],2,FALSE))</f>
        <v>48348</v>
      </c>
      <c r="S146" s="37">
        <f ca="1">OFFSET(S139,0,VLOOKUP($E139,CreditDaysT[],2,FALSE))</f>
        <v>0</v>
      </c>
      <c r="T146" s="37">
        <f ca="1">OFFSET(T139,0,VLOOKUP($E139,CreditDaysT[],2,FALSE))</f>
        <v>0</v>
      </c>
      <c r="U146" s="37">
        <f ca="1">OFFSET(U139,0,VLOOKUP($E139,CreditDaysT[],2,FALSE))</f>
        <v>0</v>
      </c>
      <c r="V146" s="39">
        <f t="shared" ca="1" si="96"/>
        <v>636559.99999999977</v>
      </c>
      <c r="W146" s="46">
        <f t="shared" ca="1" si="69"/>
        <v>0</v>
      </c>
      <c r="X146" s="70"/>
    </row>
    <row r="147" spans="1:24">
      <c r="A147" s="5" t="str">
        <f t="shared" si="95"/>
        <v>Others</v>
      </c>
      <c r="I147" s="6"/>
      <c r="J147" s="37">
        <f ca="1">OFFSET(J140,0,VLOOKUP($E140,CreditDaysT[],2,FALSE))</f>
        <v>0</v>
      </c>
      <c r="K147" s="37">
        <f ca="1">OFFSET(K140,0,VLOOKUP($E140,CreditDaysT[],2,FALSE))</f>
        <v>0</v>
      </c>
      <c r="L147" s="37">
        <f ca="1">OFFSET(L140,0,VLOOKUP($E140,CreditDaysT[],2,FALSE))</f>
        <v>0</v>
      </c>
      <c r="M147" s="37">
        <f ca="1">OFFSET(M140,0,VLOOKUP($E140,CreditDaysT[],2,FALSE))</f>
        <v>0</v>
      </c>
      <c r="N147" s="37">
        <f ca="1">OFFSET(N140,0,VLOOKUP($E140,CreditDaysT[],2,FALSE))</f>
        <v>0</v>
      </c>
      <c r="O147" s="37">
        <f ca="1">OFFSET(O140,0,VLOOKUP($E140,CreditDaysT[],2,FALSE))</f>
        <v>0</v>
      </c>
      <c r="P147" s="37">
        <f ca="1">OFFSET(P140,0,VLOOKUP($E140,CreditDaysT[],2,FALSE))</f>
        <v>0</v>
      </c>
      <c r="Q147" s="37">
        <f ca="1">OFFSET(Q140,0,VLOOKUP($E140,CreditDaysT[],2,FALSE))</f>
        <v>0</v>
      </c>
      <c r="R147" s="37">
        <f ca="1">OFFSET(R140,0,VLOOKUP($E140,CreditDaysT[],2,FALSE))</f>
        <v>0</v>
      </c>
      <c r="S147" s="37">
        <f ca="1">OFFSET(S140,0,VLOOKUP($E140,CreditDaysT[],2,FALSE))</f>
        <v>0</v>
      </c>
      <c r="T147" s="37">
        <f ca="1">OFFSET(T140,0,VLOOKUP($E140,CreditDaysT[],2,FALSE))</f>
        <v>0</v>
      </c>
      <c r="U147" s="37">
        <f ca="1">OFFSET(U140,0,VLOOKUP($E140,CreditDaysT[],2,FALSE))</f>
        <v>0</v>
      </c>
      <c r="V147" s="39">
        <f t="shared" ca="1" si="96"/>
        <v>0</v>
      </c>
      <c r="W147" s="46">
        <f t="shared" ca="1" si="69"/>
        <v>0</v>
      </c>
      <c r="X147" s="70"/>
    </row>
    <row r="148" spans="1:24"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X148" s="70"/>
    </row>
    <row r="149" spans="1:24">
      <c r="A149" s="118" t="s">
        <v>73</v>
      </c>
      <c r="B149" s="119"/>
      <c r="C149" s="119"/>
      <c r="D149" s="119"/>
      <c r="E149" s="119"/>
      <c r="F149" s="119"/>
      <c r="G149" s="119"/>
      <c r="H149" s="119"/>
      <c r="I149" s="120"/>
      <c r="J149" s="121">
        <f ca="1">SUM(J122,J142)</f>
        <v>17730402.421500001</v>
      </c>
      <c r="K149" s="121">
        <f t="shared" ref="K149:V149" ca="1" si="97">SUM(K122,K142)</f>
        <v>19700537.098999996</v>
      </c>
      <c r="L149" s="121">
        <f t="shared" ca="1" si="97"/>
        <v>20800604.423</v>
      </c>
      <c r="M149" s="121">
        <f t="shared" ca="1" si="97"/>
        <v>22363965.057499997</v>
      </c>
      <c r="N149" s="121">
        <f t="shared" ca="1" si="97"/>
        <v>32483100.015000001</v>
      </c>
      <c r="O149" s="121">
        <f t="shared" ca="1" si="97"/>
        <v>36283145.697500005</v>
      </c>
      <c r="P149" s="121">
        <f t="shared" ca="1" si="97"/>
        <v>27986912.91</v>
      </c>
      <c r="Q149" s="121">
        <f t="shared" ca="1" si="97"/>
        <v>27882624.424999997</v>
      </c>
      <c r="R149" s="121">
        <f t="shared" ca="1" si="97"/>
        <v>11675151.35825</v>
      </c>
      <c r="S149" s="121">
        <f t="shared" ca="1" si="97"/>
        <v>22242333.017499998</v>
      </c>
      <c r="T149" s="121">
        <f t="shared" ca="1" si="97"/>
        <v>12997003.607500002</v>
      </c>
      <c r="U149" s="121">
        <f t="shared" ca="1" si="97"/>
        <v>13587043.6075</v>
      </c>
      <c r="V149" s="121">
        <f t="shared" ca="1" si="97"/>
        <v>265732823.63924995</v>
      </c>
      <c r="W149" s="46">
        <f t="shared" ca="1" si="69"/>
        <v>0</v>
      </c>
      <c r="X149" s="70"/>
    </row>
    <row r="150" spans="1:24" ht="4.1500000000000004" customHeight="1">
      <c r="A150" s="43"/>
      <c r="I150" s="6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9"/>
      <c r="W150" s="46"/>
      <c r="X150" s="70"/>
    </row>
    <row r="151" spans="1:24">
      <c r="A151" s="42" t="s">
        <v>74</v>
      </c>
      <c r="D151" s="54"/>
      <c r="E151" s="179" t="s">
        <v>66</v>
      </c>
      <c r="F151" s="54"/>
      <c r="I151" s="6"/>
      <c r="J151" s="9">
        <f ca="1">SUM(J152:J154)</f>
        <v>11900</v>
      </c>
      <c r="K151" s="9">
        <f t="shared" ref="K151:U151" ca="1" si="98">SUM(K152:K154)</f>
        <v>19705</v>
      </c>
      <c r="L151" s="9">
        <f t="shared" ca="1" si="98"/>
        <v>19705</v>
      </c>
      <c r="M151" s="9">
        <f t="shared" ca="1" si="98"/>
        <v>19705</v>
      </c>
      <c r="N151" s="9">
        <f t="shared" ca="1" si="98"/>
        <v>19705</v>
      </c>
      <c r="O151" s="9">
        <f t="shared" ca="1" si="98"/>
        <v>19705</v>
      </c>
      <c r="P151" s="9">
        <f t="shared" ca="1" si="98"/>
        <v>19705</v>
      </c>
      <c r="Q151" s="9">
        <f t="shared" ca="1" si="98"/>
        <v>19705</v>
      </c>
      <c r="R151" s="9">
        <f t="shared" ca="1" si="98"/>
        <v>19705</v>
      </c>
      <c r="S151" s="9">
        <f t="shared" ca="1" si="98"/>
        <v>19705</v>
      </c>
      <c r="T151" s="9">
        <f t="shared" ca="1" si="98"/>
        <v>19705</v>
      </c>
      <c r="U151" s="9">
        <f t="shared" ca="1" si="98"/>
        <v>19705</v>
      </c>
      <c r="V151" s="9">
        <f t="shared" ref="V151:V154" ca="1" si="99">SUM(J151:U151)</f>
        <v>228655</v>
      </c>
      <c r="W151" s="46">
        <f t="shared" ca="1" si="69"/>
        <v>0</v>
      </c>
      <c r="X151" s="70"/>
    </row>
    <row r="152" spans="1:24">
      <c r="A152" s="43" t="str">
        <f>A53</f>
        <v>Transport</v>
      </c>
      <c r="D152" s="180" t="s">
        <v>1</v>
      </c>
      <c r="E152" s="483">
        <v>0</v>
      </c>
      <c r="F152" s="200" t="s">
        <v>20</v>
      </c>
      <c r="I152" s="6"/>
      <c r="J152" s="37">
        <f ca="1">OFFSET(J53,0,VLOOKUP($E152,CreditDaysT[],2,FALSE))</f>
        <v>11900</v>
      </c>
      <c r="K152" s="37">
        <f ca="1">OFFSET(K53,0,VLOOKUP($E152,CreditDaysT[],2,FALSE))</f>
        <v>11900</v>
      </c>
      <c r="L152" s="37">
        <f ca="1">OFFSET(L53,0,VLOOKUP($E152,CreditDaysT[],2,FALSE))</f>
        <v>11900</v>
      </c>
      <c r="M152" s="37">
        <f ca="1">OFFSET(M53,0,VLOOKUP($E152,CreditDaysT[],2,FALSE))</f>
        <v>11900</v>
      </c>
      <c r="N152" s="37">
        <f ca="1">OFFSET(N53,0,VLOOKUP($E152,CreditDaysT[],2,FALSE))</f>
        <v>11900</v>
      </c>
      <c r="O152" s="37">
        <f ca="1">OFFSET(O53,0,VLOOKUP($E152,CreditDaysT[],2,FALSE))</f>
        <v>11900</v>
      </c>
      <c r="P152" s="37">
        <f ca="1">OFFSET(P53,0,VLOOKUP($E152,CreditDaysT[],2,FALSE))</f>
        <v>11900</v>
      </c>
      <c r="Q152" s="37">
        <f ca="1">OFFSET(Q53,0,VLOOKUP($E152,CreditDaysT[],2,FALSE))</f>
        <v>11900</v>
      </c>
      <c r="R152" s="37">
        <f ca="1">OFFSET(R53,0,VLOOKUP($E152,CreditDaysT[],2,FALSE))</f>
        <v>11900</v>
      </c>
      <c r="S152" s="37">
        <f ca="1">OFFSET(S53,0,VLOOKUP($E152,CreditDaysT[],2,FALSE))</f>
        <v>11900</v>
      </c>
      <c r="T152" s="37">
        <f ca="1">OFFSET(T53,0,VLOOKUP($E152,CreditDaysT[],2,FALSE))</f>
        <v>11900</v>
      </c>
      <c r="U152" s="37">
        <f ca="1">OFFSET(U53,0,VLOOKUP($E152,CreditDaysT[],2,FALSE))</f>
        <v>11900</v>
      </c>
      <c r="V152" s="9">
        <f ca="1">SUM(J152:U152)</f>
        <v>142800</v>
      </c>
      <c r="W152" s="46">
        <f t="shared" ca="1" si="69"/>
        <v>0</v>
      </c>
      <c r="X152" s="70"/>
    </row>
    <row r="153" spans="1:24">
      <c r="A153" s="43" t="str">
        <f>A55</f>
        <v>Storage Cost</v>
      </c>
      <c r="D153" s="180" t="s">
        <v>0</v>
      </c>
      <c r="E153" s="483">
        <v>30</v>
      </c>
      <c r="F153" s="200" t="s">
        <v>20</v>
      </c>
      <c r="I153" s="6"/>
      <c r="J153" s="37">
        <f ca="1">OFFSET(J55,0,VLOOKUP($E153,CreditDaysT[],2,FALSE))</f>
        <v>0</v>
      </c>
      <c r="K153" s="37">
        <f ca="1">OFFSET(K55,0,VLOOKUP($E153,CreditDaysT[],2,FALSE))</f>
        <v>3500</v>
      </c>
      <c r="L153" s="37">
        <f ca="1">OFFSET(L55,0,VLOOKUP($E153,CreditDaysT[],2,FALSE))</f>
        <v>3500</v>
      </c>
      <c r="M153" s="37">
        <f ca="1">OFFSET(M55,0,VLOOKUP($E153,CreditDaysT[],2,FALSE))</f>
        <v>3500</v>
      </c>
      <c r="N153" s="37">
        <f ca="1">OFFSET(N55,0,VLOOKUP($E153,CreditDaysT[],2,FALSE))</f>
        <v>3500</v>
      </c>
      <c r="O153" s="37">
        <f ca="1">OFFSET(O55,0,VLOOKUP($E153,CreditDaysT[],2,FALSE))</f>
        <v>3500</v>
      </c>
      <c r="P153" s="37">
        <f ca="1">OFFSET(P55,0,VLOOKUP($E153,CreditDaysT[],2,FALSE))</f>
        <v>3500</v>
      </c>
      <c r="Q153" s="37">
        <f ca="1">OFFSET(Q55,0,VLOOKUP($E153,CreditDaysT[],2,FALSE))</f>
        <v>3500</v>
      </c>
      <c r="R153" s="37">
        <f ca="1">OFFSET(R55,0,VLOOKUP($E153,CreditDaysT[],2,FALSE))</f>
        <v>3500</v>
      </c>
      <c r="S153" s="37">
        <f ca="1">OFFSET(S55,0,VLOOKUP($E153,CreditDaysT[],2,FALSE))</f>
        <v>3500</v>
      </c>
      <c r="T153" s="37">
        <f ca="1">OFFSET(T55,0,VLOOKUP($E153,CreditDaysT[],2,FALSE))</f>
        <v>3500</v>
      </c>
      <c r="U153" s="37">
        <f ca="1">OFFSET(U55,0,VLOOKUP($E153,CreditDaysT[],2,FALSE))</f>
        <v>3500</v>
      </c>
      <c r="V153" s="9">
        <f t="shared" ca="1" si="99"/>
        <v>38500</v>
      </c>
      <c r="W153" s="46">
        <f t="shared" ca="1" si="69"/>
        <v>0</v>
      </c>
      <c r="X153" s="70"/>
    </row>
    <row r="154" spans="1:24">
      <c r="A154" s="43" t="str">
        <f>A56</f>
        <v>Labour</v>
      </c>
      <c r="D154" s="180" t="s">
        <v>0</v>
      </c>
      <c r="E154" s="483">
        <v>30</v>
      </c>
      <c r="F154" s="200" t="s">
        <v>20</v>
      </c>
      <c r="I154" s="6"/>
      <c r="J154" s="37">
        <f ca="1">OFFSET(J56,0,VLOOKUP($E154,CreditDaysT[],2,FALSE))</f>
        <v>0</v>
      </c>
      <c r="K154" s="37">
        <f ca="1">OFFSET(K56,0,VLOOKUP($E154,CreditDaysT[],2,FALSE))</f>
        <v>4305</v>
      </c>
      <c r="L154" s="37">
        <f ca="1">OFFSET(L56,0,VLOOKUP($E154,CreditDaysT[],2,FALSE))</f>
        <v>4305</v>
      </c>
      <c r="M154" s="37">
        <f ca="1">OFFSET(M56,0,VLOOKUP($E154,CreditDaysT[],2,FALSE))</f>
        <v>4305</v>
      </c>
      <c r="N154" s="37">
        <f ca="1">OFFSET(N56,0,VLOOKUP($E154,CreditDaysT[],2,FALSE))</f>
        <v>4305</v>
      </c>
      <c r="O154" s="37">
        <f ca="1">OFFSET(O56,0,VLOOKUP($E154,CreditDaysT[],2,FALSE))</f>
        <v>4305</v>
      </c>
      <c r="P154" s="37">
        <f ca="1">OFFSET(P56,0,VLOOKUP($E154,CreditDaysT[],2,FALSE))</f>
        <v>4305</v>
      </c>
      <c r="Q154" s="37">
        <f ca="1">OFFSET(Q56,0,VLOOKUP($E154,CreditDaysT[],2,FALSE))</f>
        <v>4305</v>
      </c>
      <c r="R154" s="37">
        <f ca="1">OFFSET(R56,0,VLOOKUP($E154,CreditDaysT[],2,FALSE))</f>
        <v>4305</v>
      </c>
      <c r="S154" s="37">
        <f ca="1">OFFSET(S56,0,VLOOKUP($E154,CreditDaysT[],2,FALSE))</f>
        <v>4305</v>
      </c>
      <c r="T154" s="37">
        <f ca="1">OFFSET(T56,0,VLOOKUP($E154,CreditDaysT[],2,FALSE))</f>
        <v>4305</v>
      </c>
      <c r="U154" s="37">
        <f ca="1">OFFSET(U56,0,VLOOKUP($E154,CreditDaysT[],2,FALSE))</f>
        <v>4305</v>
      </c>
      <c r="V154" s="9">
        <f t="shared" ca="1" si="99"/>
        <v>47355</v>
      </c>
      <c r="W154" s="46">
        <f t="shared" ca="1" si="69"/>
        <v>0</v>
      </c>
      <c r="X154" s="70"/>
    </row>
    <row r="155" spans="1:24" ht="5.45" customHeight="1">
      <c r="A155" s="43"/>
      <c r="E155" s="484"/>
      <c r="I155" s="6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9"/>
      <c r="W155" s="46"/>
      <c r="X155" s="70"/>
    </row>
    <row r="156" spans="1:24">
      <c r="A156" s="44" t="s">
        <v>75</v>
      </c>
      <c r="I156" s="6"/>
      <c r="J156" s="9">
        <f ca="1">SUM(J157:J160)</f>
        <v>105520</v>
      </c>
      <c r="K156" s="9">
        <f t="shared" ref="K156:V156" ca="1" si="100">SUM(K157:K160)</f>
        <v>86890</v>
      </c>
      <c r="L156" s="9">
        <f t="shared" ca="1" si="100"/>
        <v>388108.33333333331</v>
      </c>
      <c r="M156" s="9">
        <f t="shared" ca="1" si="100"/>
        <v>273065.73333333328</v>
      </c>
      <c r="N156" s="9">
        <f t="shared" ca="1" si="100"/>
        <v>457000.93333333329</v>
      </c>
      <c r="O156" s="9">
        <f t="shared" ca="1" si="100"/>
        <v>423893.73333333334</v>
      </c>
      <c r="P156" s="9">
        <f t="shared" ca="1" si="100"/>
        <v>288577.93333333335</v>
      </c>
      <c r="Q156" s="9">
        <f t="shared" ca="1" si="100"/>
        <v>267493.33333333337</v>
      </c>
      <c r="R156" s="9">
        <f t="shared" ca="1" si="100"/>
        <v>86890</v>
      </c>
      <c r="S156" s="9">
        <f t="shared" ca="1" si="100"/>
        <v>87835</v>
      </c>
      <c r="T156" s="9">
        <f t="shared" ca="1" si="100"/>
        <v>86890</v>
      </c>
      <c r="U156" s="9">
        <f t="shared" ca="1" si="100"/>
        <v>86890</v>
      </c>
      <c r="V156" s="9">
        <f t="shared" ca="1" si="100"/>
        <v>2639055</v>
      </c>
      <c r="W156" s="46">
        <f t="shared" ca="1" si="69"/>
        <v>0</v>
      </c>
      <c r="X156" s="70"/>
    </row>
    <row r="157" spans="1:24">
      <c r="A157" s="5" t="str">
        <f>A64</f>
        <v>Bank Charge</v>
      </c>
      <c r="C157" s="85"/>
      <c r="D157" s="182"/>
      <c r="E157" s="180" t="s">
        <v>6</v>
      </c>
      <c r="F157" s="200" t="s">
        <v>20</v>
      </c>
      <c r="I157" s="6"/>
      <c r="J157" s="6">
        <f>VLOOKUP($E$157,Ranges!$K$13:$X$17,MATCH(J$5,Ranges!$K$13:$X$13,0),FALSE)</f>
        <v>945</v>
      </c>
      <c r="K157" s="6" cm="1">
        <f t="array" ref="K157">VLOOKUP($E$157,Ranges!$K$13:$X$17,MATCH(K$5,Ranges!$K$13:$X$13,0),FALSE)</f>
        <v>0</v>
      </c>
      <c r="L157" s="6" cm="1">
        <f t="array" ref="L157">VLOOKUP($E$157,Ranges!$K$13:$X$17,MATCH(L$5,Ranges!$K$13:$X$13,0),FALSE)</f>
        <v>0</v>
      </c>
      <c r="M157" s="6" cm="1">
        <f t="array" ref="M157">VLOOKUP($E$157,Ranges!$K$13:$X$17,MATCH(M$5,Ranges!$K$13:$X$13,0),FALSE)</f>
        <v>945</v>
      </c>
      <c r="N157" s="6" cm="1">
        <f t="array" ref="N157">VLOOKUP($E$157,Ranges!$K$13:$X$17,MATCH(N$5,Ranges!$K$13:$X$13,0),FALSE)</f>
        <v>0</v>
      </c>
      <c r="O157" s="6" cm="1">
        <f t="array" ref="O157">VLOOKUP($E$157,Ranges!$K$13:$X$17,MATCH(O$5,Ranges!$K$13:$X$13,0),FALSE)</f>
        <v>0</v>
      </c>
      <c r="P157" s="6" cm="1">
        <f t="array" ref="P157">VLOOKUP($E$157,Ranges!$K$13:$X$17,MATCH(P$5,Ranges!$K$13:$X$13,0),FALSE)</f>
        <v>945</v>
      </c>
      <c r="Q157" s="6" cm="1">
        <f t="array" ref="Q157">VLOOKUP($E$157,Ranges!$K$13:$X$17,MATCH(Q$5,Ranges!$K$13:$X$13,0),FALSE)</f>
        <v>0</v>
      </c>
      <c r="R157" s="6" cm="1">
        <f t="array" ref="R157">VLOOKUP($E$157,Ranges!$K$13:$X$17,MATCH(R$5,Ranges!$K$13:$X$13,0),FALSE)</f>
        <v>0</v>
      </c>
      <c r="S157" s="6" cm="1">
        <f t="array" ref="S157">VLOOKUP($E$157,Ranges!$K$13:$X$17,MATCH(S$5,Ranges!$K$13:$X$13,0),FALSE)</f>
        <v>945</v>
      </c>
      <c r="T157" s="6" cm="1">
        <f t="array" ref="T157">VLOOKUP($E$157,Ranges!$K$13:$X$17,MATCH(T$5,Ranges!$K$13:$X$13,0),FALSE)</f>
        <v>0</v>
      </c>
      <c r="U157" s="6" cm="1">
        <f t="array" ref="U157">VLOOKUP($E$157,Ranges!$K$13:$X$17,MATCH(U$5,Ranges!$K$13:$X$13,0),FALSE)</f>
        <v>0</v>
      </c>
      <c r="V157" s="9">
        <f>SUM(J157:U157)</f>
        <v>3780</v>
      </c>
      <c r="W157" s="46">
        <f t="shared" si="69"/>
        <v>0</v>
      </c>
      <c r="X157" s="70"/>
    </row>
    <row r="158" spans="1:24">
      <c r="A158" s="5" t="str">
        <f>A65</f>
        <v>Electricity Exp</v>
      </c>
      <c r="C158" s="85"/>
      <c r="D158" s="180" t="s">
        <v>1</v>
      </c>
      <c r="E158" s="483">
        <v>30</v>
      </c>
      <c r="F158" s="200" t="s">
        <v>20</v>
      </c>
      <c r="I158" s="6"/>
      <c r="J158" s="37">
        <f ca="1">OFFSET(J65,0,VLOOKUP($E158,CreditDaysT[],2,FALSE))</f>
        <v>0</v>
      </c>
      <c r="K158" s="37">
        <f ca="1">OFFSET(K65,0,VLOOKUP($E158,CreditDaysT[],2,FALSE))</f>
        <v>315</v>
      </c>
      <c r="L158" s="37">
        <f ca="1">OFFSET(L65,0,VLOOKUP($E158,CreditDaysT[],2,FALSE))</f>
        <v>315</v>
      </c>
      <c r="M158" s="37">
        <f ca="1">OFFSET(M65,0,VLOOKUP($E158,CreditDaysT[],2,FALSE))</f>
        <v>315</v>
      </c>
      <c r="N158" s="37">
        <f ca="1">OFFSET(N65,0,VLOOKUP($E158,CreditDaysT[],2,FALSE))</f>
        <v>315</v>
      </c>
      <c r="O158" s="37">
        <f ca="1">OFFSET(O65,0,VLOOKUP($E158,CreditDaysT[],2,FALSE))</f>
        <v>315</v>
      </c>
      <c r="P158" s="37">
        <f ca="1">OFFSET(P65,0,VLOOKUP($E158,CreditDaysT[],2,FALSE))</f>
        <v>315</v>
      </c>
      <c r="Q158" s="37">
        <f ca="1">OFFSET(Q65,0,VLOOKUP($E158,CreditDaysT[],2,FALSE))</f>
        <v>315</v>
      </c>
      <c r="R158" s="37">
        <f ca="1">OFFSET(R65,0,VLOOKUP($E158,CreditDaysT[],2,FALSE))</f>
        <v>315</v>
      </c>
      <c r="S158" s="37">
        <f ca="1">OFFSET(S65,0,VLOOKUP($E158,CreditDaysT[],2,FALSE))</f>
        <v>315</v>
      </c>
      <c r="T158" s="37">
        <f ca="1">OFFSET(T65,0,VLOOKUP($E158,CreditDaysT[],2,FALSE))</f>
        <v>315</v>
      </c>
      <c r="U158" s="37">
        <f ca="1">OFFSET(U65,0,VLOOKUP($E158,CreditDaysT[],2,FALSE))</f>
        <v>315</v>
      </c>
      <c r="V158" s="9">
        <f t="shared" ref="V158" ca="1" si="101">SUM(J158:U158)</f>
        <v>3465</v>
      </c>
      <c r="W158" s="46">
        <f t="shared" ca="1" si="69"/>
        <v>0</v>
      </c>
      <c r="X158" s="70"/>
    </row>
    <row r="159" spans="1:24">
      <c r="A159" s="5" t="s">
        <v>431</v>
      </c>
      <c r="I159" s="6"/>
      <c r="J159" s="6">
        <f t="shared" ref="J159:U159" si="102">J57</f>
        <v>65850</v>
      </c>
      <c r="K159" s="6">
        <f t="shared" si="102"/>
        <v>47850</v>
      </c>
      <c r="L159" s="6">
        <f t="shared" si="102"/>
        <v>349068.33333333331</v>
      </c>
      <c r="M159" s="6">
        <f t="shared" si="102"/>
        <v>233080.73333333331</v>
      </c>
      <c r="N159" s="6">
        <f t="shared" si="102"/>
        <v>417960.93333333329</v>
      </c>
      <c r="O159" s="6">
        <f t="shared" si="102"/>
        <v>384853.73333333334</v>
      </c>
      <c r="P159" s="6">
        <f t="shared" si="102"/>
        <v>248592.93333333335</v>
      </c>
      <c r="Q159" s="6">
        <f t="shared" si="102"/>
        <v>228453.33333333334</v>
      </c>
      <c r="R159" s="6">
        <f t="shared" si="102"/>
        <v>47850</v>
      </c>
      <c r="S159" s="6">
        <f t="shared" si="102"/>
        <v>47850</v>
      </c>
      <c r="T159" s="6">
        <f t="shared" si="102"/>
        <v>47850</v>
      </c>
      <c r="U159" s="6">
        <f t="shared" si="102"/>
        <v>47850</v>
      </c>
      <c r="V159" s="9">
        <f>SUM(J159:U159)</f>
        <v>2167110</v>
      </c>
      <c r="W159" s="46">
        <f t="shared" si="69"/>
        <v>0</v>
      </c>
      <c r="X159" s="70"/>
    </row>
    <row r="160" spans="1:24">
      <c r="A160" s="5" t="s">
        <v>432</v>
      </c>
      <c r="I160" s="6"/>
      <c r="J160" s="6">
        <f t="shared" ref="J160:U160" si="103">SUM(J66:J81)</f>
        <v>38725</v>
      </c>
      <c r="K160" s="6">
        <f t="shared" si="103"/>
        <v>38725</v>
      </c>
      <c r="L160" s="6">
        <f t="shared" si="103"/>
        <v>38725</v>
      </c>
      <c r="M160" s="6">
        <f t="shared" si="103"/>
        <v>38725</v>
      </c>
      <c r="N160" s="6">
        <f t="shared" si="103"/>
        <v>38725</v>
      </c>
      <c r="O160" s="6">
        <f t="shared" si="103"/>
        <v>38725</v>
      </c>
      <c r="P160" s="6">
        <f t="shared" si="103"/>
        <v>38725</v>
      </c>
      <c r="Q160" s="6">
        <f t="shared" si="103"/>
        <v>38725</v>
      </c>
      <c r="R160" s="6">
        <f t="shared" si="103"/>
        <v>38725</v>
      </c>
      <c r="S160" s="6">
        <f t="shared" si="103"/>
        <v>38725</v>
      </c>
      <c r="T160" s="6">
        <f t="shared" si="103"/>
        <v>38725</v>
      </c>
      <c r="U160" s="6">
        <f t="shared" si="103"/>
        <v>38725</v>
      </c>
      <c r="V160" s="9">
        <f>SUM(J160:U160)</f>
        <v>464700</v>
      </c>
      <c r="W160" s="46">
        <f t="shared" si="69"/>
        <v>0</v>
      </c>
      <c r="X160" s="70"/>
    </row>
    <row r="161" spans="1:25" ht="5.45" customHeight="1">
      <c r="A161" s="43"/>
      <c r="I161" s="6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9"/>
      <c r="W161" s="46"/>
      <c r="X161" s="70"/>
    </row>
    <row r="162" spans="1:25">
      <c r="A162" s="44" t="s">
        <v>76</v>
      </c>
      <c r="I162" s="6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46"/>
      <c r="X162" s="70"/>
    </row>
    <row r="163" spans="1:25">
      <c r="A163" s="161" t="s">
        <v>77</v>
      </c>
      <c r="B163" s="162"/>
      <c r="C163" s="162"/>
      <c r="D163" s="162"/>
      <c r="E163" s="162"/>
      <c r="F163" s="162"/>
      <c r="G163" s="162"/>
      <c r="H163" s="162"/>
      <c r="I163" s="163"/>
      <c r="J163" s="163">
        <f>-J191</f>
        <v>150</v>
      </c>
      <c r="K163" s="163">
        <f t="shared" ref="K163:U163" si="104">-K191</f>
        <v>146.10046132824365</v>
      </c>
      <c r="L163" s="163">
        <f t="shared" si="104"/>
        <v>142.18629938646825</v>
      </c>
      <c r="M163" s="163">
        <f t="shared" si="104"/>
        <v>138.25745933741118</v>
      </c>
      <c r="N163" s="163">
        <f t="shared" si="104"/>
        <v>134.31388613817012</v>
      </c>
      <c r="O163" s="163">
        <f t="shared" si="104"/>
        <v>130.35552453943191</v>
      </c>
      <c r="P163" s="163">
        <f t="shared" si="104"/>
        <v>126.38231908469845</v>
      </c>
      <c r="Q163" s="163">
        <f t="shared" si="104"/>
        <v>122.39421410950973</v>
      </c>
      <c r="R163" s="163">
        <f t="shared" si="104"/>
        <v>118.39115374066405</v>
      </c>
      <c r="S163" s="163">
        <f t="shared" si="104"/>
        <v>114.37308189543522</v>
      </c>
      <c r="T163" s="163">
        <f t="shared" si="104"/>
        <v>110.33994228078676</v>
      </c>
      <c r="U163" s="163">
        <f t="shared" si="104"/>
        <v>106.29167839258336</v>
      </c>
      <c r="V163" s="163">
        <f>SUM(J163:U163)</f>
        <v>1539.3860202334029</v>
      </c>
      <c r="W163" s="46">
        <f t="shared" ref="W163" si="105">SUM(J163:V163)/2-V163</f>
        <v>0</v>
      </c>
      <c r="X163" s="70"/>
      <c r="Y163" s="202">
        <f>V163+V191</f>
        <v>0</v>
      </c>
    </row>
    <row r="164" spans="1:25" ht="13.5" thickBot="1">
      <c r="A164" s="122" t="s">
        <v>78</v>
      </c>
      <c r="B164" s="123"/>
      <c r="C164" s="123"/>
      <c r="D164" s="123"/>
      <c r="E164" s="123"/>
      <c r="F164" s="123"/>
      <c r="G164" s="123"/>
      <c r="H164" s="123"/>
      <c r="I164" s="124"/>
      <c r="J164" s="125">
        <f ca="1">SUM(J151,J156,J163,J149)</f>
        <v>17847972.421500001</v>
      </c>
      <c r="K164" s="125">
        <f t="shared" ref="K164:V164" ca="1" si="106">SUM(K151,K156,K163,K149)</f>
        <v>19807278.199461322</v>
      </c>
      <c r="L164" s="125">
        <f t="shared" ca="1" si="106"/>
        <v>21208559.94263272</v>
      </c>
      <c r="M164" s="125">
        <f t="shared" ca="1" si="106"/>
        <v>22656874.048292667</v>
      </c>
      <c r="N164" s="125">
        <f t="shared" ca="1" si="106"/>
        <v>32959940.262219474</v>
      </c>
      <c r="O164" s="125">
        <f t="shared" ca="1" si="106"/>
        <v>36726874.78635788</v>
      </c>
      <c r="P164" s="125">
        <f t="shared" ca="1" si="106"/>
        <v>28295322.225652419</v>
      </c>
      <c r="Q164" s="125">
        <f t="shared" ca="1" si="106"/>
        <v>28169945.152547441</v>
      </c>
      <c r="R164" s="125">
        <f t="shared" ca="1" si="106"/>
        <v>11781864.749403739</v>
      </c>
      <c r="S164" s="125">
        <f t="shared" ca="1" si="106"/>
        <v>22349987.390581895</v>
      </c>
      <c r="T164" s="125">
        <f t="shared" ca="1" si="106"/>
        <v>13103708.947442282</v>
      </c>
      <c r="U164" s="125">
        <f t="shared" ca="1" si="106"/>
        <v>13693744.899178393</v>
      </c>
      <c r="V164" s="125">
        <f t="shared" ca="1" si="106"/>
        <v>268602073.02527016</v>
      </c>
      <c r="W164" s="46"/>
      <c r="X164" s="70"/>
    </row>
    <row r="165" spans="1:25" ht="13.5" thickTop="1">
      <c r="A165" s="126" t="s">
        <v>79</v>
      </c>
      <c r="B165" s="127"/>
      <c r="C165" s="127"/>
      <c r="D165" s="127"/>
      <c r="E165" s="127"/>
      <c r="F165" s="127"/>
      <c r="G165" s="127"/>
      <c r="H165" s="127"/>
      <c r="I165" s="128"/>
      <c r="J165" s="128">
        <f ca="1">J121-J164</f>
        <v>1755919.607453756</v>
      </c>
      <c r="K165" s="128">
        <f t="shared" ref="K165:V165" ca="1" si="107">K121-K164</f>
        <v>3780370.9275487326</v>
      </c>
      <c r="L165" s="128">
        <f t="shared" ca="1" si="107"/>
        <v>4346751.59132424</v>
      </c>
      <c r="M165" s="128">
        <f t="shared" ca="1" si="107"/>
        <v>2822128.6078969017</v>
      </c>
      <c r="N165" s="128">
        <f t="shared" ca="1" si="107"/>
        <v>3323980.4337821975</v>
      </c>
      <c r="O165" s="128">
        <f t="shared" ca="1" si="107"/>
        <v>4876613.4902019203</v>
      </c>
      <c r="P165" s="128">
        <f t="shared" ca="1" si="107"/>
        <v>5704672.5935636386</v>
      </c>
      <c r="Q165" s="128">
        <f t="shared" ca="1" si="107"/>
        <v>5278770.1388476379</v>
      </c>
      <c r="R165" s="128">
        <f t="shared" ca="1" si="107"/>
        <v>3843214.3437433466</v>
      </c>
      <c r="S165" s="128">
        <f t="shared" ca="1" si="107"/>
        <v>2581995.241860345</v>
      </c>
      <c r="T165" s="128">
        <f t="shared" ca="1" si="107"/>
        <v>3219854.9774912335</v>
      </c>
      <c r="U165" s="128">
        <f t="shared" ca="1" si="107"/>
        <v>2390995.8531500287</v>
      </c>
      <c r="V165" s="128">
        <f t="shared" ca="1" si="107"/>
        <v>43925267.806863904</v>
      </c>
      <c r="W165" s="46">
        <f t="shared" ref="W165" ca="1" si="108">SUM(J165:V165)/2-V165</f>
        <v>0</v>
      </c>
      <c r="X165" s="70"/>
    </row>
    <row r="166" spans="1:25" ht="15" customHeight="1">
      <c r="A166" s="49" t="s">
        <v>80</v>
      </c>
      <c r="B166" s="50"/>
      <c r="C166" s="50"/>
      <c r="D166" s="50"/>
      <c r="E166" s="50"/>
      <c r="F166" s="50"/>
      <c r="G166" s="50"/>
      <c r="H166" s="50"/>
      <c r="I166" s="51"/>
      <c r="J166" s="52">
        <f ca="1">IFERROR(J165/J90,0)</f>
        <v>0.59936280476792958</v>
      </c>
      <c r="K166" s="52">
        <f t="shared" ref="K166:V166" ca="1" si="109">IFERROR(K165/K90,0)</f>
        <v>1.153566715992312</v>
      </c>
      <c r="L166" s="52">
        <f t="shared" ca="1" si="109"/>
        <v>1.2864576156063585</v>
      </c>
      <c r="M166" s="52">
        <f t="shared" ca="1" si="109"/>
        <v>1.260899298683672</v>
      </c>
      <c r="N166" s="52">
        <f t="shared" ca="1" si="109"/>
        <v>1.0134910601218856</v>
      </c>
      <c r="O166" s="52">
        <f t="shared" ca="1" si="109"/>
        <v>1.2769987040562703</v>
      </c>
      <c r="P166" s="52">
        <f t="shared" ca="1" si="109"/>
        <v>1.5155864905704393</v>
      </c>
      <c r="Q166" s="52">
        <f t="shared" ca="1" si="109"/>
        <v>1.3833234645487513</v>
      </c>
      <c r="R166" s="52">
        <f t="shared" ca="1" si="109"/>
        <v>2.3831975124924543</v>
      </c>
      <c r="S166" s="52">
        <f t="shared" ca="1" si="109"/>
        <v>0.82145537303728067</v>
      </c>
      <c r="T166" s="52">
        <f t="shared" ca="1" si="109"/>
        <v>1.7924078345524266</v>
      </c>
      <c r="U166" s="52">
        <f t="shared" ca="1" si="109"/>
        <v>1.2617318848762509</v>
      </c>
      <c r="V166" s="52">
        <f t="shared" ca="1" si="109"/>
        <v>1.1834373503294779</v>
      </c>
      <c r="X166" s="70"/>
    </row>
    <row r="167" spans="1:25" ht="6" customHeight="1">
      <c r="A167" s="48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45"/>
      <c r="X167" s="70"/>
    </row>
    <row r="168" spans="1:25">
      <c r="A168" s="5" t="s">
        <v>82</v>
      </c>
      <c r="I168" s="6">
        <f>-I215</f>
        <v>-90000</v>
      </c>
      <c r="J168" s="6">
        <f>-J215</f>
        <v>0</v>
      </c>
      <c r="K168" s="6">
        <f t="shared" ref="K168:U168" si="110">-K215</f>
        <v>0</v>
      </c>
      <c r="L168" s="6">
        <f t="shared" si="110"/>
        <v>-1500</v>
      </c>
      <c r="M168" s="6">
        <f t="shared" si="110"/>
        <v>-500</v>
      </c>
      <c r="N168" s="6">
        <f t="shared" si="110"/>
        <v>-250</v>
      </c>
      <c r="O168" s="6">
        <f t="shared" si="110"/>
        <v>0</v>
      </c>
      <c r="P168" s="6">
        <f t="shared" si="110"/>
        <v>0</v>
      </c>
      <c r="Q168" s="6">
        <f t="shared" si="110"/>
        <v>0</v>
      </c>
      <c r="R168" s="6">
        <f t="shared" si="110"/>
        <v>0</v>
      </c>
      <c r="S168" s="6">
        <f t="shared" si="110"/>
        <v>-500</v>
      </c>
      <c r="T168" s="6">
        <f t="shared" si="110"/>
        <v>-350</v>
      </c>
      <c r="U168" s="6">
        <f t="shared" si="110"/>
        <v>0</v>
      </c>
      <c r="V168" s="9">
        <f>SUM(J168:U168)</f>
        <v>-3100</v>
      </c>
      <c r="W168" s="46">
        <f t="shared" ref="W168:W174" si="111">SUM(J168:V168)/2-V168</f>
        <v>0</v>
      </c>
      <c r="X168" s="70"/>
      <c r="Y168" s="202">
        <f>V168+V215</f>
        <v>0</v>
      </c>
    </row>
    <row r="169" spans="1:25">
      <c r="A169" s="5" t="s">
        <v>83</v>
      </c>
      <c r="I169" s="6"/>
      <c r="J169" s="6">
        <f>J192</f>
        <v>-1039.876979135023</v>
      </c>
      <c r="K169" s="6">
        <f t="shared" ref="K169:U169" si="112">K192</f>
        <v>-1043.7765178067793</v>
      </c>
      <c r="L169" s="6">
        <f t="shared" si="112"/>
        <v>-1047.6906797485549</v>
      </c>
      <c r="M169" s="6">
        <f t="shared" si="112"/>
        <v>-1051.6195197976119</v>
      </c>
      <c r="N169" s="6">
        <f t="shared" si="112"/>
        <v>-1055.5630929968529</v>
      </c>
      <c r="O169" s="6">
        <f t="shared" si="112"/>
        <v>-1059.5214545955912</v>
      </c>
      <c r="P169" s="6">
        <f t="shared" si="112"/>
        <v>-1063.4946600503245</v>
      </c>
      <c r="Q169" s="6">
        <f t="shared" si="112"/>
        <v>-1067.4827650255133</v>
      </c>
      <c r="R169" s="6">
        <f t="shared" si="112"/>
        <v>-1071.4858253943589</v>
      </c>
      <c r="S169" s="6">
        <f t="shared" si="112"/>
        <v>-1075.5038972395878</v>
      </c>
      <c r="T169" s="6">
        <f t="shared" si="112"/>
        <v>-1079.5370368542362</v>
      </c>
      <c r="U169" s="6">
        <f t="shared" si="112"/>
        <v>-1083.5853007424396</v>
      </c>
      <c r="V169" s="9">
        <f>SUM(J169:U169)</f>
        <v>-12739.137729386874</v>
      </c>
      <c r="W169" s="46">
        <f t="shared" si="111"/>
        <v>0</v>
      </c>
      <c r="X169" s="70"/>
      <c r="Y169" s="202">
        <f>V169-V192</f>
        <v>0</v>
      </c>
    </row>
    <row r="170" spans="1:25">
      <c r="A170" s="5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9"/>
      <c r="W170" s="46"/>
      <c r="X170" s="70"/>
    </row>
    <row r="171" spans="1:25">
      <c r="A171" s="159" t="s">
        <v>84</v>
      </c>
      <c r="B171" s="160"/>
      <c r="C171" s="160"/>
      <c r="D171" s="160"/>
      <c r="E171" s="160"/>
      <c r="F171" s="160"/>
      <c r="G171" s="160"/>
      <c r="H171" s="157"/>
      <c r="I171" s="157"/>
      <c r="J171" s="157">
        <f ca="1">J200</f>
        <v>0</v>
      </c>
      <c r="K171" s="157">
        <f t="shared" ref="K171:U171" ca="1" si="113">K200</f>
        <v>0</v>
      </c>
      <c r="L171" s="157">
        <f t="shared" ca="1" si="113"/>
        <v>0</v>
      </c>
      <c r="M171" s="157">
        <f t="shared" ca="1" si="113"/>
        <v>0</v>
      </c>
      <c r="N171" s="157">
        <f t="shared" ca="1" si="113"/>
        <v>0</v>
      </c>
      <c r="O171" s="157">
        <f t="shared" ca="1" si="113"/>
        <v>0</v>
      </c>
      <c r="P171" s="157">
        <f t="shared" ca="1" si="113"/>
        <v>0</v>
      </c>
      <c r="Q171" s="157">
        <f t="shared" ca="1" si="113"/>
        <v>0</v>
      </c>
      <c r="R171" s="157">
        <f t="shared" ca="1" si="113"/>
        <v>0</v>
      </c>
      <c r="S171" s="157">
        <f t="shared" ca="1" si="113"/>
        <v>0</v>
      </c>
      <c r="T171" s="157">
        <f t="shared" ca="1" si="113"/>
        <v>0</v>
      </c>
      <c r="U171" s="157">
        <f t="shared" ca="1" si="113"/>
        <v>0</v>
      </c>
      <c r="V171" s="157">
        <f ca="1">SUM(J171:U171)</f>
        <v>0</v>
      </c>
      <c r="W171" s="46">
        <f t="shared" ca="1" si="111"/>
        <v>0</v>
      </c>
      <c r="X171" s="70"/>
    </row>
    <row r="172" spans="1:25">
      <c r="A172" s="53" t="s">
        <v>85</v>
      </c>
      <c r="B172" s="54"/>
      <c r="C172" s="54"/>
      <c r="D172" s="54"/>
      <c r="E172" s="54"/>
      <c r="F172" s="54"/>
      <c r="G172" s="54"/>
      <c r="H172" s="54"/>
      <c r="I172" s="55"/>
      <c r="J172" s="55">
        <f ca="1">J201</f>
        <v>0</v>
      </c>
      <c r="K172" s="55">
        <f t="shared" ref="K172:U172" ca="1" si="114">K201</f>
        <v>0</v>
      </c>
      <c r="L172" s="55">
        <f t="shared" ca="1" si="114"/>
        <v>0</v>
      </c>
      <c r="M172" s="55">
        <f t="shared" ca="1" si="114"/>
        <v>0</v>
      </c>
      <c r="N172" s="55">
        <f t="shared" ca="1" si="114"/>
        <v>0</v>
      </c>
      <c r="O172" s="55">
        <f t="shared" ca="1" si="114"/>
        <v>0</v>
      </c>
      <c r="P172" s="55">
        <f t="shared" ca="1" si="114"/>
        <v>0</v>
      </c>
      <c r="Q172" s="55">
        <f t="shared" ca="1" si="114"/>
        <v>0</v>
      </c>
      <c r="R172" s="55">
        <f t="shared" ca="1" si="114"/>
        <v>0</v>
      </c>
      <c r="S172" s="55">
        <f t="shared" ca="1" si="114"/>
        <v>0</v>
      </c>
      <c r="T172" s="55">
        <f t="shared" ca="1" si="114"/>
        <v>0</v>
      </c>
      <c r="U172" s="55">
        <f t="shared" ca="1" si="114"/>
        <v>0</v>
      </c>
      <c r="V172" s="56">
        <f t="shared" ref="V172:V173" ca="1" si="115">SUM(J172:U172)</f>
        <v>0</v>
      </c>
      <c r="W172" s="46">
        <f t="shared" ca="1" si="111"/>
        <v>0</v>
      </c>
      <c r="X172" s="70"/>
    </row>
    <row r="173" spans="1:25" ht="13.5" thickBot="1">
      <c r="A173" s="53" t="s">
        <v>86</v>
      </c>
      <c r="B173" s="54"/>
      <c r="C173" s="54"/>
      <c r="D173" s="54"/>
      <c r="E173" s="54"/>
      <c r="F173" s="54"/>
      <c r="G173" s="54"/>
      <c r="H173" s="54"/>
      <c r="I173" s="55"/>
      <c r="J173" s="55">
        <f ca="1">MIN((J202-I202),0)</f>
        <v>0</v>
      </c>
      <c r="K173" s="55">
        <f ca="1">MIN((K202-J202),0)</f>
        <v>0</v>
      </c>
      <c r="L173" s="55">
        <f t="shared" ref="L173:U173" ca="1" si="116">MIN((L202-K202),0)</f>
        <v>0</v>
      </c>
      <c r="M173" s="55">
        <f t="shared" ca="1" si="116"/>
        <v>0</v>
      </c>
      <c r="N173" s="55">
        <f t="shared" ca="1" si="116"/>
        <v>0</v>
      </c>
      <c r="O173" s="55">
        <f t="shared" ca="1" si="116"/>
        <v>0</v>
      </c>
      <c r="P173" s="55">
        <f t="shared" ca="1" si="116"/>
        <v>0</v>
      </c>
      <c r="Q173" s="55">
        <f t="shared" ca="1" si="116"/>
        <v>0</v>
      </c>
      <c r="R173" s="55">
        <f t="shared" ca="1" si="116"/>
        <v>0</v>
      </c>
      <c r="S173" s="55">
        <f t="shared" ca="1" si="116"/>
        <v>0</v>
      </c>
      <c r="T173" s="55">
        <f t="shared" ca="1" si="116"/>
        <v>0</v>
      </c>
      <c r="U173" s="55">
        <f t="shared" ca="1" si="116"/>
        <v>0</v>
      </c>
      <c r="V173" s="56">
        <f t="shared" ca="1" si="115"/>
        <v>0</v>
      </c>
      <c r="W173" s="46">
        <f t="shared" ca="1" si="111"/>
        <v>0</v>
      </c>
      <c r="X173" s="70"/>
    </row>
    <row r="174" spans="1:25" ht="13.5" thickTop="1">
      <c r="A174" s="127" t="s">
        <v>87</v>
      </c>
      <c r="B174" s="127"/>
      <c r="C174" s="127"/>
      <c r="D174" s="127"/>
      <c r="E174" s="127"/>
      <c r="F174" s="127"/>
      <c r="G174" s="127"/>
      <c r="H174" s="128"/>
      <c r="I174" s="128"/>
      <c r="J174" s="128">
        <f t="shared" ref="J174:V174" ca="1" si="117">SUM(J165,J168:J173)</f>
        <v>1754879.7304746211</v>
      </c>
      <c r="K174" s="128">
        <f t="shared" ca="1" si="117"/>
        <v>3779327.151030926</v>
      </c>
      <c r="L174" s="128">
        <f t="shared" ca="1" si="117"/>
        <v>4344203.9006444914</v>
      </c>
      <c r="M174" s="128">
        <f t="shared" ca="1" si="117"/>
        <v>2820576.988377104</v>
      </c>
      <c r="N174" s="128">
        <f t="shared" ca="1" si="117"/>
        <v>3322674.8706892007</v>
      </c>
      <c r="O174" s="128">
        <f t="shared" ca="1" si="117"/>
        <v>4875553.9687473243</v>
      </c>
      <c r="P174" s="128">
        <f t="shared" ca="1" si="117"/>
        <v>5703609.098903588</v>
      </c>
      <c r="Q174" s="128">
        <f t="shared" ca="1" si="117"/>
        <v>5277702.6560826125</v>
      </c>
      <c r="R174" s="128">
        <f t="shared" ca="1" si="117"/>
        <v>3842142.8579179524</v>
      </c>
      <c r="S174" s="128">
        <f t="shared" ca="1" si="117"/>
        <v>2580419.7379631056</v>
      </c>
      <c r="T174" s="128">
        <f t="shared" ca="1" si="117"/>
        <v>3218425.4404543792</v>
      </c>
      <c r="U174" s="128">
        <f t="shared" ca="1" si="117"/>
        <v>2389912.2678492861</v>
      </c>
      <c r="V174" s="128">
        <f t="shared" ca="1" si="117"/>
        <v>43909428.66913452</v>
      </c>
      <c r="W174" s="46">
        <f t="shared" ca="1" si="111"/>
        <v>0</v>
      </c>
      <c r="X174" s="70"/>
    </row>
    <row r="175" spans="1:25" ht="8.25" customHeight="1"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X175" s="70"/>
    </row>
    <row r="176" spans="1:25">
      <c r="A176" s="96" t="s">
        <v>89</v>
      </c>
      <c r="B176" s="96"/>
      <c r="C176" s="96"/>
      <c r="D176" s="96"/>
      <c r="E176" s="96"/>
      <c r="F176" s="96"/>
      <c r="G176" s="96"/>
      <c r="H176" s="96"/>
      <c r="I176" s="106">
        <f>-I168+I23</f>
        <v>90000</v>
      </c>
      <c r="J176" s="97">
        <f>I177</f>
        <v>0</v>
      </c>
      <c r="K176" s="97">
        <f t="shared" ref="K176:U176" ca="1" si="118">J177</f>
        <v>1754879.7304746211</v>
      </c>
      <c r="L176" s="97">
        <f t="shared" ca="1" si="118"/>
        <v>5534206.8815055471</v>
      </c>
      <c r="M176" s="97">
        <f t="shared" ca="1" si="118"/>
        <v>9878410.7821500376</v>
      </c>
      <c r="N176" s="97">
        <f t="shared" ca="1" si="118"/>
        <v>12698987.770527141</v>
      </c>
      <c r="O176" s="97">
        <f t="shared" ca="1" si="118"/>
        <v>16021662.641216341</v>
      </c>
      <c r="P176" s="97">
        <f t="shared" ca="1" si="118"/>
        <v>20897216.609963667</v>
      </c>
      <c r="Q176" s="97">
        <f t="shared" ca="1" si="118"/>
        <v>26600825.708867256</v>
      </c>
      <c r="R176" s="97">
        <f t="shared" ca="1" si="118"/>
        <v>31878528.364949867</v>
      </c>
      <c r="S176" s="97">
        <f t="shared" ca="1" si="118"/>
        <v>35720671.222867817</v>
      </c>
      <c r="T176" s="97">
        <f t="shared" ca="1" si="118"/>
        <v>38301090.960830919</v>
      </c>
      <c r="U176" s="97">
        <f t="shared" ca="1" si="118"/>
        <v>41519516.401285298</v>
      </c>
      <c r="V176" s="97">
        <f>I176</f>
        <v>90000</v>
      </c>
      <c r="W176" s="46"/>
      <c r="X176" s="70"/>
    </row>
    <row r="177" spans="1:24" ht="13.5" thickBot="1">
      <c r="A177" s="98" t="s">
        <v>88</v>
      </c>
      <c r="B177" s="98"/>
      <c r="C177" s="98"/>
      <c r="D177" s="98"/>
      <c r="E177" s="98"/>
      <c r="F177" s="98"/>
      <c r="G177" s="98"/>
      <c r="H177" s="98"/>
      <c r="I177" s="99">
        <f>I176+I168-I23</f>
        <v>0</v>
      </c>
      <c r="J177" s="99">
        <f ca="1">J176+J174</f>
        <v>1754879.7304746211</v>
      </c>
      <c r="K177" s="99">
        <f t="shared" ref="K177:U177" ca="1" si="119">K176+K174</f>
        <v>5534206.8815055471</v>
      </c>
      <c r="L177" s="99">
        <f t="shared" ca="1" si="119"/>
        <v>9878410.7821500376</v>
      </c>
      <c r="M177" s="99">
        <f t="shared" ca="1" si="119"/>
        <v>12698987.770527141</v>
      </c>
      <c r="N177" s="99">
        <f t="shared" ca="1" si="119"/>
        <v>16021662.641216341</v>
      </c>
      <c r="O177" s="99">
        <f t="shared" ca="1" si="119"/>
        <v>20897216.609963667</v>
      </c>
      <c r="P177" s="99">
        <f t="shared" ca="1" si="119"/>
        <v>26600825.708867256</v>
      </c>
      <c r="Q177" s="99">
        <f t="shared" ca="1" si="119"/>
        <v>31878528.364949867</v>
      </c>
      <c r="R177" s="99">
        <f t="shared" ca="1" si="119"/>
        <v>35720671.222867817</v>
      </c>
      <c r="S177" s="99">
        <f t="shared" ca="1" si="119"/>
        <v>38301090.960830919</v>
      </c>
      <c r="T177" s="99">
        <f t="shared" ca="1" si="119"/>
        <v>41519516.401285298</v>
      </c>
      <c r="U177" s="99">
        <f t="shared" ca="1" si="119"/>
        <v>43909428.669134587</v>
      </c>
      <c r="V177" s="99">
        <f ca="1">U177</f>
        <v>43909428.669134587</v>
      </c>
      <c r="W177" s="46"/>
      <c r="X177" s="70"/>
    </row>
    <row r="178" spans="1:24">
      <c r="A178" s="30" t="s">
        <v>98</v>
      </c>
      <c r="B178" s="30"/>
      <c r="C178" s="30"/>
      <c r="D178" s="30"/>
      <c r="E178" s="30"/>
      <c r="F178" s="30"/>
      <c r="G178" s="30"/>
      <c r="H178" s="30"/>
      <c r="I178" s="47"/>
      <c r="J178" s="47">
        <f ca="1">J176-J177+J174</f>
        <v>0</v>
      </c>
      <c r="K178" s="47">
        <f t="shared" ref="K178:U178" ca="1" si="120">K176-K177+K174</f>
        <v>0</v>
      </c>
      <c r="L178" s="47">
        <f t="shared" ca="1" si="120"/>
        <v>0</v>
      </c>
      <c r="M178" s="47">
        <f t="shared" ca="1" si="120"/>
        <v>0</v>
      </c>
      <c r="N178" s="47">
        <f t="shared" ca="1" si="120"/>
        <v>0</v>
      </c>
      <c r="O178" s="47">
        <f t="shared" ca="1" si="120"/>
        <v>0</v>
      </c>
      <c r="P178" s="47">
        <f t="shared" ca="1" si="120"/>
        <v>0</v>
      </c>
      <c r="Q178" s="47">
        <f t="shared" ca="1" si="120"/>
        <v>0</v>
      </c>
      <c r="R178" s="47">
        <f t="shared" ca="1" si="120"/>
        <v>0</v>
      </c>
      <c r="S178" s="47">
        <f t="shared" ca="1" si="120"/>
        <v>0</v>
      </c>
      <c r="T178" s="47">
        <f t="shared" ca="1" si="120"/>
        <v>0</v>
      </c>
      <c r="U178" s="47">
        <f t="shared" ca="1" si="120"/>
        <v>0</v>
      </c>
      <c r="V178" s="47">
        <f ca="1">V176-V177+V174+I168-I23</f>
        <v>-6.7055225372314453E-8</v>
      </c>
      <c r="W178" s="46"/>
      <c r="X178" s="70"/>
    </row>
    <row r="179" spans="1:24">
      <c r="I179" s="6"/>
      <c r="J179" s="6"/>
      <c r="K179" s="71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X179" s="70"/>
    </row>
    <row r="180" spans="1:24">
      <c r="A180" s="103" t="s">
        <v>36</v>
      </c>
      <c r="B180" s="102"/>
      <c r="C180" s="102"/>
      <c r="D180" s="102"/>
      <c r="E180" s="102"/>
      <c r="F180" s="102"/>
      <c r="G180" s="102"/>
      <c r="H180" s="102"/>
      <c r="I180" s="104"/>
      <c r="J180" s="104"/>
      <c r="K180" s="104"/>
      <c r="L180" s="104"/>
      <c r="M180" s="104"/>
      <c r="N180" s="104"/>
      <c r="O180" s="104"/>
      <c r="P180" s="104"/>
      <c r="Q180" s="104"/>
      <c r="R180" s="104"/>
      <c r="S180" s="104"/>
      <c r="T180" s="104"/>
      <c r="U180" s="104"/>
      <c r="V180" s="104"/>
      <c r="X180" s="70"/>
    </row>
    <row r="181" spans="1:24"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X181" s="70"/>
    </row>
    <row r="182" spans="1:24">
      <c r="A182" s="130" t="s">
        <v>50</v>
      </c>
      <c r="B182" s="131"/>
      <c r="C182" s="131"/>
      <c r="D182" s="131"/>
      <c r="E182" s="131"/>
      <c r="F182" s="131"/>
      <c r="G182" s="131"/>
      <c r="H182" s="131"/>
      <c r="I182" s="132"/>
      <c r="J182" s="132"/>
      <c r="K182" s="132"/>
      <c r="L182" s="132"/>
      <c r="M182" s="132"/>
      <c r="N182" s="132"/>
      <c r="O182" s="132"/>
      <c r="P182" s="132"/>
      <c r="Q182" s="132"/>
      <c r="R182" s="132"/>
      <c r="S182" s="132"/>
      <c r="T182" s="132"/>
      <c r="U182" s="132"/>
      <c r="V182" s="132"/>
      <c r="X182" s="70"/>
    </row>
    <row r="183" spans="1:24">
      <c r="A183" s="65" t="s">
        <v>51</v>
      </c>
      <c r="B183" s="105">
        <v>50000</v>
      </c>
      <c r="C183" s="46"/>
      <c r="D183" s="1"/>
      <c r="E183" s="151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X183" s="70"/>
    </row>
    <row r="184" spans="1:24">
      <c r="A184" s="65" t="s">
        <v>254</v>
      </c>
      <c r="B184" s="105">
        <v>50000</v>
      </c>
      <c r="C184" s="46"/>
      <c r="D184" s="1"/>
      <c r="E184" s="151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X184" s="70"/>
    </row>
    <row r="185" spans="1:24">
      <c r="A185" s="65" t="s">
        <v>52</v>
      </c>
      <c r="B185" s="25">
        <f>I176-B183</f>
        <v>40000</v>
      </c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X185" s="70"/>
    </row>
    <row r="186" spans="1:24">
      <c r="A186" s="65" t="s">
        <v>19</v>
      </c>
      <c r="B186" s="485">
        <f>'Master Assumptions'!B327</f>
        <v>4.4999999999999998E-2</v>
      </c>
      <c r="C186" s="181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X186" s="70"/>
    </row>
    <row r="187" spans="1:24">
      <c r="A187" s="65" t="s">
        <v>53</v>
      </c>
      <c r="B187" s="105">
        <v>3</v>
      </c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X187" s="70"/>
    </row>
    <row r="188" spans="1:24">
      <c r="A188" s="133"/>
      <c r="B188" s="134"/>
      <c r="C188" s="85"/>
      <c r="D188" s="85"/>
      <c r="E188" s="85"/>
      <c r="F188" s="85"/>
      <c r="G188" s="85"/>
      <c r="H188" s="85"/>
      <c r="I188" s="134"/>
      <c r="J188" s="135">
        <v>1</v>
      </c>
      <c r="K188" s="135">
        <v>2</v>
      </c>
      <c r="L188" s="135">
        <v>3</v>
      </c>
      <c r="M188" s="135">
        <v>4</v>
      </c>
      <c r="N188" s="135">
        <v>5</v>
      </c>
      <c r="O188" s="135">
        <v>6</v>
      </c>
      <c r="P188" s="135">
        <v>7</v>
      </c>
      <c r="Q188" s="135">
        <v>8</v>
      </c>
      <c r="R188" s="135">
        <v>9</v>
      </c>
      <c r="S188" s="135">
        <v>10</v>
      </c>
      <c r="T188" s="135">
        <v>11</v>
      </c>
      <c r="U188" s="135">
        <v>12</v>
      </c>
      <c r="V188" s="136" t="s">
        <v>12</v>
      </c>
      <c r="X188" s="70"/>
    </row>
    <row r="189" spans="1:24">
      <c r="A189" s="129" t="s">
        <v>54</v>
      </c>
      <c r="B189" s="74"/>
      <c r="C189" s="129"/>
      <c r="D189" s="129"/>
      <c r="E189" s="129"/>
      <c r="F189" s="129"/>
      <c r="G189" s="129"/>
      <c r="H189" s="129"/>
      <c r="I189" s="141"/>
      <c r="J189" s="74">
        <f>$B$185</f>
        <v>40000</v>
      </c>
      <c r="K189" s="74">
        <f>J193</f>
        <v>38960.123020864979</v>
      </c>
      <c r="L189" s="74">
        <f t="shared" ref="L189:U189" si="121">K193</f>
        <v>37916.346503058201</v>
      </c>
      <c r="M189" s="74">
        <f t="shared" si="121"/>
        <v>36868.655823309644</v>
      </c>
      <c r="N189" s="74">
        <f t="shared" si="121"/>
        <v>35817.036303512032</v>
      </c>
      <c r="O189" s="74">
        <f t="shared" si="121"/>
        <v>34761.473210515178</v>
      </c>
      <c r="P189" s="74">
        <f t="shared" si="121"/>
        <v>33701.951755919588</v>
      </c>
      <c r="Q189" s="74">
        <f t="shared" si="121"/>
        <v>32638.457095869264</v>
      </c>
      <c r="R189" s="74">
        <f t="shared" si="121"/>
        <v>31570.97433084375</v>
      </c>
      <c r="S189" s="74">
        <f t="shared" si="121"/>
        <v>30499.48850544939</v>
      </c>
      <c r="T189" s="74">
        <f t="shared" si="121"/>
        <v>29423.984608209801</v>
      </c>
      <c r="U189" s="74">
        <f t="shared" si="121"/>
        <v>28344.447571355566</v>
      </c>
      <c r="V189" s="74">
        <f>J189</f>
        <v>40000</v>
      </c>
      <c r="X189" s="70"/>
    </row>
    <row r="190" spans="1:24">
      <c r="A190" s="72" t="s">
        <v>56</v>
      </c>
      <c r="B190" s="73"/>
      <c r="C190" s="72"/>
      <c r="D190" s="72"/>
      <c r="E190" s="72"/>
      <c r="F190" s="72"/>
      <c r="G190" s="72"/>
      <c r="H190" s="72"/>
      <c r="I190" s="73"/>
      <c r="J190" s="73">
        <f>PMT($B$186/12,$B$187*12,$B$185)</f>
        <v>-1189.876979135023</v>
      </c>
      <c r="K190" s="73">
        <f>PMT($B$186/12,$B$187*12,$B$185)</f>
        <v>-1189.876979135023</v>
      </c>
      <c r="L190" s="73">
        <f t="shared" ref="L190:U190" si="122">PMT($B$186/12,$B$187*12,$B$185)</f>
        <v>-1189.876979135023</v>
      </c>
      <c r="M190" s="73">
        <f t="shared" si="122"/>
        <v>-1189.876979135023</v>
      </c>
      <c r="N190" s="73">
        <f t="shared" si="122"/>
        <v>-1189.876979135023</v>
      </c>
      <c r="O190" s="73">
        <f t="shared" si="122"/>
        <v>-1189.876979135023</v>
      </c>
      <c r="P190" s="73">
        <f t="shared" si="122"/>
        <v>-1189.876979135023</v>
      </c>
      <c r="Q190" s="73">
        <f t="shared" si="122"/>
        <v>-1189.876979135023</v>
      </c>
      <c r="R190" s="73">
        <f t="shared" si="122"/>
        <v>-1189.876979135023</v>
      </c>
      <c r="S190" s="73">
        <f t="shared" si="122"/>
        <v>-1189.876979135023</v>
      </c>
      <c r="T190" s="73">
        <f t="shared" si="122"/>
        <v>-1189.876979135023</v>
      </c>
      <c r="U190" s="73">
        <f t="shared" si="122"/>
        <v>-1189.876979135023</v>
      </c>
      <c r="V190" s="73">
        <f>SUM(J190:U190)</f>
        <v>-14278.523749620274</v>
      </c>
      <c r="X190" s="70"/>
    </row>
    <row r="191" spans="1:24">
      <c r="A191" s="72" t="s">
        <v>55</v>
      </c>
      <c r="B191" s="109"/>
      <c r="C191" s="109"/>
      <c r="D191" s="109"/>
      <c r="E191" s="109"/>
      <c r="F191" s="109"/>
      <c r="G191" s="109"/>
      <c r="H191" s="109"/>
      <c r="I191" s="100"/>
      <c r="J191" s="158">
        <f>-J189*$B$186/12</f>
        <v>-150</v>
      </c>
      <c r="K191" s="158">
        <f>-K189*$B$186/12</f>
        <v>-146.10046132824365</v>
      </c>
      <c r="L191" s="158">
        <f t="shared" ref="L191:U191" si="123">-L189*$B$186/12</f>
        <v>-142.18629938646825</v>
      </c>
      <c r="M191" s="158">
        <f t="shared" si="123"/>
        <v>-138.25745933741118</v>
      </c>
      <c r="N191" s="158">
        <f t="shared" si="123"/>
        <v>-134.31388613817012</v>
      </c>
      <c r="O191" s="158">
        <f t="shared" si="123"/>
        <v>-130.35552453943191</v>
      </c>
      <c r="P191" s="158">
        <f t="shared" si="123"/>
        <v>-126.38231908469845</v>
      </c>
      <c r="Q191" s="158">
        <f t="shared" si="123"/>
        <v>-122.39421410950973</v>
      </c>
      <c r="R191" s="158">
        <f t="shared" si="123"/>
        <v>-118.39115374066405</v>
      </c>
      <c r="S191" s="158">
        <f t="shared" si="123"/>
        <v>-114.37308189543522</v>
      </c>
      <c r="T191" s="158">
        <f t="shared" si="123"/>
        <v>-110.33994228078676</v>
      </c>
      <c r="U191" s="158">
        <f t="shared" si="123"/>
        <v>-106.29167839258336</v>
      </c>
      <c r="V191" s="73">
        <f t="shared" ref="V191:V192" si="124">SUM(J191:U191)</f>
        <v>-1539.3860202334029</v>
      </c>
      <c r="X191" s="70"/>
    </row>
    <row r="192" spans="1:24">
      <c r="A192" s="72" t="s">
        <v>57</v>
      </c>
      <c r="B192" s="72"/>
      <c r="C192" s="72"/>
      <c r="D192" s="72"/>
      <c r="E192" s="72"/>
      <c r="F192" s="72"/>
      <c r="G192" s="72"/>
      <c r="H192" s="72"/>
      <c r="I192" s="73"/>
      <c r="J192" s="73">
        <f>J190-J191</f>
        <v>-1039.876979135023</v>
      </c>
      <c r="K192" s="73">
        <f>K190-K191</f>
        <v>-1043.7765178067793</v>
      </c>
      <c r="L192" s="73">
        <f t="shared" ref="L192:U192" si="125">L190-L191</f>
        <v>-1047.6906797485549</v>
      </c>
      <c r="M192" s="73">
        <f t="shared" si="125"/>
        <v>-1051.6195197976119</v>
      </c>
      <c r="N192" s="73">
        <f t="shared" si="125"/>
        <v>-1055.5630929968529</v>
      </c>
      <c r="O192" s="73">
        <f t="shared" si="125"/>
        <v>-1059.5214545955912</v>
      </c>
      <c r="P192" s="73">
        <f t="shared" si="125"/>
        <v>-1063.4946600503245</v>
      </c>
      <c r="Q192" s="73">
        <f t="shared" si="125"/>
        <v>-1067.4827650255133</v>
      </c>
      <c r="R192" s="73">
        <f t="shared" si="125"/>
        <v>-1071.4858253943589</v>
      </c>
      <c r="S192" s="73">
        <f t="shared" si="125"/>
        <v>-1075.5038972395878</v>
      </c>
      <c r="T192" s="73">
        <f t="shared" si="125"/>
        <v>-1079.5370368542362</v>
      </c>
      <c r="U192" s="73">
        <f t="shared" si="125"/>
        <v>-1083.5853007424396</v>
      </c>
      <c r="V192" s="73">
        <f t="shared" si="124"/>
        <v>-12739.137729386874</v>
      </c>
      <c r="X192" s="70"/>
    </row>
    <row r="193" spans="1:24" ht="13.5" thickBot="1">
      <c r="A193" s="148"/>
      <c r="B193" s="148"/>
      <c r="C193" s="148"/>
      <c r="D193" s="148"/>
      <c r="E193" s="148"/>
      <c r="F193" s="148"/>
      <c r="G193" s="148"/>
      <c r="H193" s="148"/>
      <c r="I193" s="142"/>
      <c r="J193" s="142">
        <f>SUM(J189,J192)</f>
        <v>38960.123020864979</v>
      </c>
      <c r="K193" s="142">
        <f>SUM(K189,K192)</f>
        <v>37916.346503058201</v>
      </c>
      <c r="L193" s="142">
        <f t="shared" ref="L193:V193" si="126">SUM(L189,L192)</f>
        <v>36868.655823309644</v>
      </c>
      <c r="M193" s="142">
        <f t="shared" si="126"/>
        <v>35817.036303512032</v>
      </c>
      <c r="N193" s="142">
        <f t="shared" si="126"/>
        <v>34761.473210515178</v>
      </c>
      <c r="O193" s="142">
        <f t="shared" si="126"/>
        <v>33701.951755919588</v>
      </c>
      <c r="P193" s="142">
        <f t="shared" si="126"/>
        <v>32638.457095869264</v>
      </c>
      <c r="Q193" s="142">
        <f t="shared" si="126"/>
        <v>31570.97433084375</v>
      </c>
      <c r="R193" s="142">
        <f t="shared" si="126"/>
        <v>30499.48850544939</v>
      </c>
      <c r="S193" s="142">
        <f t="shared" si="126"/>
        <v>29423.984608209801</v>
      </c>
      <c r="T193" s="142">
        <f t="shared" si="126"/>
        <v>28344.447571355566</v>
      </c>
      <c r="U193" s="142">
        <f t="shared" si="126"/>
        <v>27260.862270613125</v>
      </c>
      <c r="V193" s="142">
        <f t="shared" si="126"/>
        <v>27260.862270613128</v>
      </c>
      <c r="W193" s="46">
        <f>U193-V193</f>
        <v>0</v>
      </c>
      <c r="X193" s="70"/>
    </row>
    <row r="194" spans="1:24"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X194" s="70"/>
    </row>
    <row r="195" spans="1:24">
      <c r="A195" s="130" t="s">
        <v>90</v>
      </c>
      <c r="B195" s="131"/>
      <c r="C195" s="131"/>
      <c r="D195" s="131"/>
      <c r="E195" s="131"/>
      <c r="F195" s="131"/>
      <c r="G195" s="131"/>
      <c r="H195" s="131"/>
      <c r="I195" s="132"/>
      <c r="J195" s="132"/>
      <c r="K195" s="132"/>
      <c r="L195" s="132"/>
      <c r="M195" s="132"/>
      <c r="N195" s="132"/>
      <c r="O195" s="132"/>
      <c r="P195" s="132"/>
      <c r="Q195" s="132"/>
      <c r="R195" s="132"/>
      <c r="S195" s="132"/>
      <c r="T195" s="132"/>
      <c r="U195" s="132"/>
      <c r="V195" s="132"/>
      <c r="X195" s="70"/>
    </row>
    <row r="196" spans="1:24">
      <c r="A196" s="65" t="s">
        <v>91</v>
      </c>
      <c r="B196" s="65"/>
      <c r="C196" s="65"/>
      <c r="D196" s="65"/>
      <c r="E196" s="486">
        <f>'Master Assumptions'!B328</f>
        <v>7.4999999999999997E-2</v>
      </c>
      <c r="F196" s="201" t="s">
        <v>20</v>
      </c>
      <c r="G196" s="112"/>
      <c r="H196" s="65"/>
      <c r="I196" s="28"/>
      <c r="J196" s="143">
        <f>J176</f>
        <v>0</v>
      </c>
      <c r="K196" s="143">
        <f t="shared" ref="K196:U196" ca="1" si="127">K176</f>
        <v>1754879.7304746211</v>
      </c>
      <c r="L196" s="143">
        <f t="shared" ca="1" si="127"/>
        <v>5534206.8815055471</v>
      </c>
      <c r="M196" s="143">
        <f t="shared" ca="1" si="127"/>
        <v>9878410.7821500376</v>
      </c>
      <c r="N196" s="143">
        <f t="shared" ca="1" si="127"/>
        <v>12698987.770527141</v>
      </c>
      <c r="O196" s="143">
        <f t="shared" ca="1" si="127"/>
        <v>16021662.641216341</v>
      </c>
      <c r="P196" s="143">
        <f t="shared" ca="1" si="127"/>
        <v>20897216.609963667</v>
      </c>
      <c r="Q196" s="143">
        <f t="shared" ca="1" si="127"/>
        <v>26600825.708867256</v>
      </c>
      <c r="R196" s="143">
        <f t="shared" ca="1" si="127"/>
        <v>31878528.364949867</v>
      </c>
      <c r="S196" s="143">
        <f t="shared" ca="1" si="127"/>
        <v>35720671.222867817</v>
      </c>
      <c r="T196" s="143">
        <f t="shared" ca="1" si="127"/>
        <v>38301090.960830919</v>
      </c>
      <c r="U196" s="143">
        <f t="shared" ca="1" si="127"/>
        <v>41519516.401285298</v>
      </c>
      <c r="V196" s="143"/>
      <c r="X196" s="70"/>
    </row>
    <row r="197" spans="1:24" ht="13.5" thickBot="1">
      <c r="A197" s="65" t="s">
        <v>92</v>
      </c>
      <c r="B197" s="65"/>
      <c r="C197" s="65"/>
      <c r="D197" s="65"/>
      <c r="E197" s="65"/>
      <c r="F197" s="65"/>
      <c r="G197" s="65"/>
      <c r="H197" s="65"/>
      <c r="I197" s="28"/>
      <c r="J197" s="143">
        <f t="shared" ref="J197:U197" ca="1" si="128">J165</f>
        <v>1755919.607453756</v>
      </c>
      <c r="K197" s="143">
        <f t="shared" ca="1" si="128"/>
        <v>3780370.9275487326</v>
      </c>
      <c r="L197" s="143">
        <f t="shared" ca="1" si="128"/>
        <v>4346751.59132424</v>
      </c>
      <c r="M197" s="143">
        <f t="shared" ca="1" si="128"/>
        <v>2822128.6078969017</v>
      </c>
      <c r="N197" s="143">
        <f t="shared" ca="1" si="128"/>
        <v>3323980.4337821975</v>
      </c>
      <c r="O197" s="143">
        <f t="shared" ca="1" si="128"/>
        <v>4876613.4902019203</v>
      </c>
      <c r="P197" s="143">
        <f t="shared" ca="1" si="128"/>
        <v>5704672.5935636386</v>
      </c>
      <c r="Q197" s="143">
        <f t="shared" ca="1" si="128"/>
        <v>5278770.1388476379</v>
      </c>
      <c r="R197" s="143">
        <f t="shared" ca="1" si="128"/>
        <v>3843214.3437433466</v>
      </c>
      <c r="S197" s="143">
        <f t="shared" ca="1" si="128"/>
        <v>2581995.241860345</v>
      </c>
      <c r="T197" s="143">
        <f t="shared" ca="1" si="128"/>
        <v>3219854.9774912335</v>
      </c>
      <c r="U197" s="143">
        <f t="shared" ca="1" si="128"/>
        <v>2390995.8531500287</v>
      </c>
      <c r="V197" s="143"/>
      <c r="W197" s="203">
        <f ca="1">SUM(J197:U197)-V165</f>
        <v>7.4505805969238281E-8</v>
      </c>
      <c r="X197" s="70"/>
    </row>
    <row r="198" spans="1:24" ht="13.5" thickBot="1">
      <c r="A198" s="65" t="s">
        <v>93</v>
      </c>
      <c r="B198" s="65"/>
      <c r="C198" s="65"/>
      <c r="D198" s="65"/>
      <c r="E198" s="65"/>
      <c r="F198" s="65"/>
      <c r="G198" s="65"/>
      <c r="H198" s="183">
        <f>'Master Assumptions'!D327</f>
        <v>5000</v>
      </c>
      <c r="J198" s="61">
        <f>$H198-J192</f>
        <v>6039.8769791350232</v>
      </c>
      <c r="K198" s="61">
        <f t="shared" ref="K198:U198" si="129">$H198-K192</f>
        <v>6043.7765178067793</v>
      </c>
      <c r="L198" s="61">
        <f t="shared" si="129"/>
        <v>6047.6906797485553</v>
      </c>
      <c r="M198" s="61">
        <f t="shared" si="129"/>
        <v>6051.6195197976122</v>
      </c>
      <c r="N198" s="61">
        <f t="shared" si="129"/>
        <v>6055.5630929968529</v>
      </c>
      <c r="O198" s="61">
        <f t="shared" si="129"/>
        <v>6059.5214545955914</v>
      </c>
      <c r="P198" s="61">
        <f t="shared" si="129"/>
        <v>6063.4946600503245</v>
      </c>
      <c r="Q198" s="61">
        <f t="shared" si="129"/>
        <v>6067.4827650255138</v>
      </c>
      <c r="R198" s="61">
        <f t="shared" si="129"/>
        <v>6071.4858253943585</v>
      </c>
      <c r="S198" s="61">
        <f t="shared" si="129"/>
        <v>6075.5038972395878</v>
      </c>
      <c r="T198" s="61">
        <f t="shared" si="129"/>
        <v>6079.5370368542362</v>
      </c>
      <c r="U198" s="61">
        <f t="shared" si="129"/>
        <v>6083.5853007424394</v>
      </c>
      <c r="V198" s="143"/>
      <c r="X198" s="70"/>
    </row>
    <row r="199" spans="1:24">
      <c r="A199" s="65" t="s">
        <v>94</v>
      </c>
      <c r="B199" s="65"/>
      <c r="C199" s="65"/>
      <c r="D199" s="65"/>
      <c r="E199" s="65"/>
      <c r="F199" s="65"/>
      <c r="G199" s="65"/>
      <c r="H199" s="65"/>
      <c r="I199" s="28"/>
      <c r="J199" s="143">
        <f ca="1">SUM(J196:J197)-J198</f>
        <v>1749879.7304746211</v>
      </c>
      <c r="K199" s="143">
        <f t="shared" ref="K199:U199" ca="1" si="130">SUM(K196:K197)-K198</f>
        <v>5529206.8815055471</v>
      </c>
      <c r="L199" s="143">
        <f t="shared" ca="1" si="130"/>
        <v>9874910.7821500376</v>
      </c>
      <c r="M199" s="143">
        <f t="shared" ca="1" si="130"/>
        <v>12694487.770527141</v>
      </c>
      <c r="N199" s="143">
        <f t="shared" ca="1" si="130"/>
        <v>16016912.641216341</v>
      </c>
      <c r="O199" s="143">
        <f t="shared" ca="1" si="130"/>
        <v>20892216.609963667</v>
      </c>
      <c r="P199" s="143">
        <f t="shared" ca="1" si="130"/>
        <v>26595825.708867256</v>
      </c>
      <c r="Q199" s="143">
        <f t="shared" ca="1" si="130"/>
        <v>31873528.364949867</v>
      </c>
      <c r="R199" s="143">
        <f t="shared" ca="1" si="130"/>
        <v>35715671.222867817</v>
      </c>
      <c r="S199" s="143">
        <f t="shared" ca="1" si="130"/>
        <v>38296590.960830919</v>
      </c>
      <c r="T199" s="143">
        <f t="shared" ca="1" si="130"/>
        <v>41514866.401285306</v>
      </c>
      <c r="U199" s="143">
        <f t="shared" ca="1" si="130"/>
        <v>43904428.669134587</v>
      </c>
      <c r="V199" s="143"/>
      <c r="W199" s="203"/>
      <c r="X199" s="70"/>
    </row>
    <row r="200" spans="1:24">
      <c r="A200" s="164" t="s">
        <v>95</v>
      </c>
      <c r="B200" s="164"/>
      <c r="C200" s="164"/>
      <c r="D200" s="164"/>
      <c r="E200" s="164"/>
      <c r="F200" s="164"/>
      <c r="G200" s="164"/>
      <c r="H200" s="164"/>
      <c r="I200" s="165"/>
      <c r="J200" s="166">
        <f ca="1">-J202*$E$196/12</f>
        <v>0</v>
      </c>
      <c r="K200" s="166">
        <f t="shared" ref="K200:U200" ca="1" si="131">-K202*$E$196/12</f>
        <v>0</v>
      </c>
      <c r="L200" s="166">
        <f t="shared" ca="1" si="131"/>
        <v>0</v>
      </c>
      <c r="M200" s="166">
        <f t="shared" ca="1" si="131"/>
        <v>0</v>
      </c>
      <c r="N200" s="166">
        <f t="shared" ca="1" si="131"/>
        <v>0</v>
      </c>
      <c r="O200" s="166">
        <f t="shared" ca="1" si="131"/>
        <v>0</v>
      </c>
      <c r="P200" s="166">
        <f t="shared" ca="1" si="131"/>
        <v>0</v>
      </c>
      <c r="Q200" s="166">
        <f t="shared" ca="1" si="131"/>
        <v>0</v>
      </c>
      <c r="R200" s="166">
        <f t="shared" ca="1" si="131"/>
        <v>0</v>
      </c>
      <c r="S200" s="166">
        <f t="shared" ca="1" si="131"/>
        <v>0</v>
      </c>
      <c r="T200" s="166">
        <f t="shared" ca="1" si="131"/>
        <v>0</v>
      </c>
      <c r="U200" s="166">
        <f t="shared" ca="1" si="131"/>
        <v>0</v>
      </c>
      <c r="V200" s="143"/>
      <c r="W200" s="204">
        <f ca="1">SUM(J200:U200)+V84</f>
        <v>0</v>
      </c>
      <c r="X200" s="70"/>
    </row>
    <row r="201" spans="1:24">
      <c r="A201" s="137" t="s">
        <v>96</v>
      </c>
      <c r="B201" s="137"/>
      <c r="C201" s="137"/>
      <c r="D201" s="144"/>
      <c r="E201" s="144"/>
      <c r="F201" s="144"/>
      <c r="G201" s="144"/>
      <c r="H201" s="144"/>
      <c r="I201" s="145"/>
      <c r="J201" s="138">
        <f ca="1">-MIN(J199,0)</f>
        <v>0</v>
      </c>
      <c r="K201" s="138">
        <f t="shared" ref="K201:U201" ca="1" si="132">-MIN(K199,0)</f>
        <v>0</v>
      </c>
      <c r="L201" s="138">
        <f t="shared" ca="1" si="132"/>
        <v>0</v>
      </c>
      <c r="M201" s="138">
        <f t="shared" ca="1" si="132"/>
        <v>0</v>
      </c>
      <c r="N201" s="138">
        <f t="shared" ca="1" si="132"/>
        <v>0</v>
      </c>
      <c r="O201" s="138">
        <f t="shared" ca="1" si="132"/>
        <v>0</v>
      </c>
      <c r="P201" s="138">
        <f t="shared" ca="1" si="132"/>
        <v>0</v>
      </c>
      <c r="Q201" s="138">
        <f t="shared" ca="1" si="132"/>
        <v>0</v>
      </c>
      <c r="R201" s="138">
        <f t="shared" ca="1" si="132"/>
        <v>0</v>
      </c>
      <c r="S201" s="138">
        <f t="shared" ca="1" si="132"/>
        <v>0</v>
      </c>
      <c r="T201" s="138">
        <f t="shared" ca="1" si="132"/>
        <v>0</v>
      </c>
      <c r="U201" s="138">
        <f t="shared" ca="1" si="132"/>
        <v>0</v>
      </c>
      <c r="V201" s="138"/>
      <c r="X201" s="70"/>
    </row>
    <row r="202" spans="1:24" ht="13.5" thickBot="1">
      <c r="A202" s="139" t="s">
        <v>97</v>
      </c>
      <c r="B202" s="139"/>
      <c r="C202" s="139"/>
      <c r="D202" s="146"/>
      <c r="E202" s="146"/>
      <c r="F202" s="146"/>
      <c r="G202" s="146"/>
      <c r="H202" s="146"/>
      <c r="I202" s="147"/>
      <c r="J202" s="140">
        <f ca="1">J201</f>
        <v>0</v>
      </c>
      <c r="K202" s="140">
        <f ca="1">J202+K201-MIN(MAX(K199,0),J202)</f>
        <v>0</v>
      </c>
      <c r="L202" s="140">
        <f t="shared" ref="L202:U202" ca="1" si="133">K202+L201-MIN(MAX(L199,0),K202)</f>
        <v>0</v>
      </c>
      <c r="M202" s="140">
        <f t="shared" ca="1" si="133"/>
        <v>0</v>
      </c>
      <c r="N202" s="140">
        <f t="shared" ca="1" si="133"/>
        <v>0</v>
      </c>
      <c r="O202" s="140">
        <f t="shared" ca="1" si="133"/>
        <v>0</v>
      </c>
      <c r="P202" s="140">
        <f t="shared" ca="1" si="133"/>
        <v>0</v>
      </c>
      <c r="Q202" s="140">
        <f t="shared" ca="1" si="133"/>
        <v>0</v>
      </c>
      <c r="R202" s="140">
        <f t="shared" ca="1" si="133"/>
        <v>0</v>
      </c>
      <c r="S202" s="140">
        <f t="shared" ca="1" si="133"/>
        <v>0</v>
      </c>
      <c r="T202" s="140">
        <f t="shared" ca="1" si="133"/>
        <v>0</v>
      </c>
      <c r="U202" s="140">
        <f t="shared" ca="1" si="133"/>
        <v>0</v>
      </c>
      <c r="V202" s="140"/>
      <c r="X202" s="70"/>
    </row>
    <row r="203" spans="1:24"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X203" s="70"/>
    </row>
    <row r="204" spans="1:24"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X204" s="70"/>
    </row>
    <row r="205" spans="1:24">
      <c r="A205" s="130" t="s">
        <v>37</v>
      </c>
      <c r="B205" s="131"/>
      <c r="C205" s="131"/>
      <c r="D205" s="131"/>
      <c r="E205" s="131"/>
      <c r="F205" s="131"/>
      <c r="G205" s="131"/>
      <c r="H205" s="131"/>
      <c r="I205" s="132"/>
      <c r="J205" s="132"/>
      <c r="K205" s="132"/>
      <c r="L205" s="132"/>
      <c r="M205" s="132"/>
      <c r="N205" s="132"/>
      <c r="O205" s="132"/>
      <c r="P205" s="132"/>
      <c r="Q205" s="132"/>
      <c r="R205" s="132"/>
      <c r="S205" s="132"/>
      <c r="T205" s="132"/>
      <c r="U205" s="132"/>
      <c r="V205" s="132"/>
      <c r="X205" s="70"/>
    </row>
    <row r="206" spans="1:24">
      <c r="A206" s="209" t="s">
        <v>38</v>
      </c>
      <c r="B206" s="210"/>
      <c r="C206" s="210"/>
      <c r="D206" s="210"/>
      <c r="E206" s="210"/>
      <c r="F206" s="210"/>
      <c r="G206" s="210"/>
      <c r="H206" s="210"/>
      <c r="I206" s="211"/>
      <c r="J206" s="211"/>
      <c r="K206" s="211"/>
      <c r="L206" s="211"/>
      <c r="M206" s="211"/>
      <c r="N206" s="211"/>
      <c r="O206" s="211"/>
      <c r="P206" s="211"/>
      <c r="Q206" s="211"/>
      <c r="R206" s="211"/>
      <c r="S206" s="211"/>
      <c r="T206" s="211"/>
      <c r="U206" s="211"/>
      <c r="V206" s="211"/>
      <c r="X206" s="70"/>
    </row>
    <row r="207" spans="1:24">
      <c r="A207" s="212" t="s">
        <v>39</v>
      </c>
      <c r="B207" s="213"/>
      <c r="C207" s="213"/>
      <c r="D207" s="213"/>
      <c r="E207" s="213"/>
      <c r="F207" s="210"/>
      <c r="G207" s="210"/>
      <c r="H207" s="210"/>
      <c r="I207" s="211"/>
      <c r="J207" s="211"/>
      <c r="K207" s="211"/>
      <c r="L207" s="211"/>
      <c r="M207" s="211"/>
      <c r="N207" s="211"/>
      <c r="O207" s="211"/>
      <c r="P207" s="211"/>
      <c r="Q207" s="211"/>
      <c r="R207" s="211"/>
      <c r="S207" s="211"/>
      <c r="T207" s="211"/>
      <c r="U207" s="211"/>
      <c r="V207" s="211"/>
      <c r="X207" s="70"/>
    </row>
    <row r="208" spans="1:24">
      <c r="A208" s="212" t="s">
        <v>40</v>
      </c>
      <c r="B208" s="213"/>
      <c r="C208" s="213"/>
      <c r="D208" s="213"/>
      <c r="E208" s="213"/>
      <c r="F208" s="210"/>
      <c r="G208" s="210"/>
      <c r="H208" s="210"/>
      <c r="I208" s="211"/>
      <c r="J208" s="211"/>
      <c r="K208" s="211"/>
      <c r="L208" s="211"/>
      <c r="M208" s="211"/>
      <c r="N208" s="211"/>
      <c r="O208" s="211"/>
      <c r="P208" s="211"/>
      <c r="Q208" s="211"/>
      <c r="R208" s="211"/>
      <c r="S208" s="211"/>
      <c r="T208" s="211"/>
      <c r="U208" s="211"/>
      <c r="V208" s="211"/>
      <c r="X208" s="70"/>
    </row>
    <row r="209" spans="1:24">
      <c r="A209" s="212" t="s">
        <v>41</v>
      </c>
      <c r="B209" s="213"/>
      <c r="C209" s="213"/>
      <c r="D209" s="213"/>
      <c r="E209" s="213"/>
      <c r="F209" s="210"/>
      <c r="G209" s="210"/>
      <c r="H209" s="210"/>
      <c r="I209" s="211">
        <v>0</v>
      </c>
      <c r="J209" s="232">
        <v>1</v>
      </c>
      <c r="K209" s="232">
        <v>2</v>
      </c>
      <c r="L209" s="232">
        <v>3</v>
      </c>
      <c r="M209" s="232">
        <v>4</v>
      </c>
      <c r="N209" s="232">
        <v>5</v>
      </c>
      <c r="O209" s="232">
        <v>6</v>
      </c>
      <c r="P209" s="232">
        <v>7</v>
      </c>
      <c r="Q209" s="232">
        <v>8</v>
      </c>
      <c r="R209" s="232">
        <v>9</v>
      </c>
      <c r="S209" s="232">
        <v>10</v>
      </c>
      <c r="T209" s="232">
        <v>11</v>
      </c>
      <c r="U209" s="232">
        <v>12</v>
      </c>
      <c r="V209" s="211"/>
      <c r="X209" s="70"/>
    </row>
    <row r="210" spans="1:24">
      <c r="A210" s="214"/>
      <c r="B210" s="215"/>
      <c r="C210" s="215"/>
      <c r="D210" s="215"/>
      <c r="E210" s="215"/>
      <c r="F210" s="215"/>
      <c r="G210" s="215"/>
      <c r="H210" s="216" t="s">
        <v>46</v>
      </c>
      <c r="I210" s="217" t="s">
        <v>47</v>
      </c>
      <c r="J210" s="218"/>
      <c r="K210" s="218"/>
      <c r="L210" s="218"/>
      <c r="M210" s="218"/>
      <c r="N210" s="218"/>
      <c r="O210" s="218"/>
      <c r="P210" s="218"/>
      <c r="Q210" s="218"/>
      <c r="R210" s="218"/>
      <c r="S210" s="218"/>
      <c r="T210" s="218"/>
      <c r="U210" s="218"/>
      <c r="V210" s="219"/>
      <c r="W210" s="72"/>
      <c r="X210" s="70"/>
    </row>
    <row r="211" spans="1:24">
      <c r="A211" s="215" t="s">
        <v>42</v>
      </c>
      <c r="B211" s="215"/>
      <c r="C211" s="215"/>
      <c r="D211" s="215"/>
      <c r="E211" s="215"/>
      <c r="F211" s="215"/>
      <c r="G211" s="215"/>
      <c r="H211" s="487">
        <f>'Master Assumptions'!B338</f>
        <v>0.1</v>
      </c>
      <c r="I211" s="477">
        <f>'Master Assumptions'!C338</f>
        <v>45000</v>
      </c>
      <c r="J211" s="220">
        <f>'Master Assumptions'!B346</f>
        <v>0</v>
      </c>
      <c r="K211" s="220">
        <f>'Master Assumptions'!C346</f>
        <v>0</v>
      </c>
      <c r="L211" s="220">
        <f>'Master Assumptions'!D346</f>
        <v>0</v>
      </c>
      <c r="M211" s="220">
        <f>'Master Assumptions'!E346</f>
        <v>0</v>
      </c>
      <c r="N211" s="220">
        <f>'Master Assumptions'!F346</f>
        <v>0</v>
      </c>
      <c r="O211" s="220">
        <f>'Master Assumptions'!G346</f>
        <v>0</v>
      </c>
      <c r="P211" s="220">
        <f>'Master Assumptions'!H346</f>
        <v>0</v>
      </c>
      <c r="Q211" s="220">
        <f>'Master Assumptions'!I346</f>
        <v>0</v>
      </c>
      <c r="R211" s="220">
        <f>'Master Assumptions'!J346</f>
        <v>0</v>
      </c>
      <c r="S211" s="220">
        <f>'Master Assumptions'!K346</f>
        <v>0</v>
      </c>
      <c r="T211" s="220">
        <f>'Master Assumptions'!L346</f>
        <v>0</v>
      </c>
      <c r="U211" s="220">
        <f>'Master Assumptions'!M346</f>
        <v>0</v>
      </c>
      <c r="V211" s="220">
        <f>SUM(I211:U211)</f>
        <v>45000</v>
      </c>
      <c r="W211" s="149"/>
      <c r="X211" s="70"/>
    </row>
    <row r="212" spans="1:24">
      <c r="A212" s="215" t="s">
        <v>43</v>
      </c>
      <c r="B212" s="215"/>
      <c r="C212" s="215"/>
      <c r="D212" s="215"/>
      <c r="E212" s="215"/>
      <c r="F212" s="215"/>
      <c r="G212" s="215"/>
      <c r="H212" s="487">
        <f>'Master Assumptions'!B339</f>
        <v>0.2</v>
      </c>
      <c r="I212" s="477">
        <f>'Master Assumptions'!C339</f>
        <v>25000</v>
      </c>
      <c r="J212" s="220">
        <f>'Master Assumptions'!B347</f>
        <v>0</v>
      </c>
      <c r="K212" s="220">
        <f>'Master Assumptions'!C347</f>
        <v>0</v>
      </c>
      <c r="L212" s="220">
        <f>'Master Assumptions'!D347</f>
        <v>1500</v>
      </c>
      <c r="M212" s="220">
        <f>'Master Assumptions'!E347</f>
        <v>0</v>
      </c>
      <c r="N212" s="220">
        <f>'Master Assumptions'!F347</f>
        <v>0</v>
      </c>
      <c r="O212" s="220">
        <f>'Master Assumptions'!G347</f>
        <v>0</v>
      </c>
      <c r="P212" s="220">
        <f>'Master Assumptions'!H347</f>
        <v>0</v>
      </c>
      <c r="Q212" s="220">
        <f>'Master Assumptions'!I347</f>
        <v>0</v>
      </c>
      <c r="R212" s="220">
        <f>'Master Assumptions'!J347</f>
        <v>0</v>
      </c>
      <c r="S212" s="220">
        <f>'Master Assumptions'!K347</f>
        <v>500</v>
      </c>
      <c r="T212" s="220">
        <f>'Master Assumptions'!L347</f>
        <v>0</v>
      </c>
      <c r="U212" s="220">
        <f>'Master Assumptions'!M347</f>
        <v>0</v>
      </c>
      <c r="V212" s="220">
        <f t="shared" ref="V212:V214" si="134">SUM(I212:U212)</f>
        <v>27000</v>
      </c>
      <c r="W212" s="149"/>
      <c r="X212" s="70"/>
    </row>
    <row r="213" spans="1:24">
      <c r="A213" s="215" t="s">
        <v>44</v>
      </c>
      <c r="B213" s="215"/>
      <c r="C213" s="215"/>
      <c r="D213" s="215"/>
      <c r="E213" s="215"/>
      <c r="F213" s="215"/>
      <c r="G213" s="215"/>
      <c r="H213" s="487">
        <f>'Master Assumptions'!B340</f>
        <v>0.33333333333333331</v>
      </c>
      <c r="I213" s="477">
        <f>'Master Assumptions'!C340</f>
        <v>15000</v>
      </c>
      <c r="J213" s="220">
        <f>'Master Assumptions'!B348</f>
        <v>0</v>
      </c>
      <c r="K213" s="220">
        <f>'Master Assumptions'!C348</f>
        <v>0</v>
      </c>
      <c r="L213" s="220">
        <f>'Master Assumptions'!D348</f>
        <v>0</v>
      </c>
      <c r="M213" s="220">
        <f>'Master Assumptions'!E348</f>
        <v>500</v>
      </c>
      <c r="N213" s="220">
        <f>'Master Assumptions'!F348</f>
        <v>0</v>
      </c>
      <c r="O213" s="220">
        <f>'Master Assumptions'!G348</f>
        <v>0</v>
      </c>
      <c r="P213" s="220">
        <f>'Master Assumptions'!H348</f>
        <v>0</v>
      </c>
      <c r="Q213" s="220">
        <f>'Master Assumptions'!I348</f>
        <v>0</v>
      </c>
      <c r="R213" s="220">
        <f>'Master Assumptions'!J348</f>
        <v>0</v>
      </c>
      <c r="S213" s="220">
        <f>'Master Assumptions'!K348</f>
        <v>0</v>
      </c>
      <c r="T213" s="220">
        <f>'Master Assumptions'!L348</f>
        <v>350</v>
      </c>
      <c r="U213" s="220">
        <f>'Master Assumptions'!M348</f>
        <v>0</v>
      </c>
      <c r="V213" s="220">
        <f t="shared" si="134"/>
        <v>15850</v>
      </c>
      <c r="W213" s="149"/>
      <c r="X213" s="70"/>
    </row>
    <row r="214" spans="1:24">
      <c r="A214" s="215" t="s">
        <v>45</v>
      </c>
      <c r="B214" s="215"/>
      <c r="C214" s="215"/>
      <c r="D214" s="215"/>
      <c r="E214" s="215"/>
      <c r="F214" s="215"/>
      <c r="G214" s="215"/>
      <c r="H214" s="487">
        <f>'Master Assumptions'!B341</f>
        <v>0.33333333333333331</v>
      </c>
      <c r="I214" s="477">
        <f>'Master Assumptions'!C341</f>
        <v>5000</v>
      </c>
      <c r="J214" s="220">
        <f>'Master Assumptions'!B349</f>
        <v>0</v>
      </c>
      <c r="K214" s="220">
        <f>'Master Assumptions'!C349</f>
        <v>0</v>
      </c>
      <c r="L214" s="220">
        <f>'Master Assumptions'!D349</f>
        <v>0</v>
      </c>
      <c r="M214" s="220">
        <f>'Master Assumptions'!E349</f>
        <v>0</v>
      </c>
      <c r="N214" s="220">
        <f>'Master Assumptions'!F349</f>
        <v>250</v>
      </c>
      <c r="O214" s="220">
        <f>'Master Assumptions'!G349</f>
        <v>0</v>
      </c>
      <c r="P214" s="220">
        <f>'Master Assumptions'!H349</f>
        <v>0</v>
      </c>
      <c r="Q214" s="220">
        <f>'Master Assumptions'!I349</f>
        <v>0</v>
      </c>
      <c r="R214" s="220">
        <f>'Master Assumptions'!J349</f>
        <v>0</v>
      </c>
      <c r="S214" s="220">
        <f>'Master Assumptions'!K349</f>
        <v>0</v>
      </c>
      <c r="T214" s="220">
        <f>'Master Assumptions'!L349</f>
        <v>0</v>
      </c>
      <c r="U214" s="220">
        <f>'Master Assumptions'!M349</f>
        <v>0</v>
      </c>
      <c r="V214" s="220">
        <f t="shared" si="134"/>
        <v>5250</v>
      </c>
      <c r="W214" s="149"/>
      <c r="X214" s="70"/>
    </row>
    <row r="215" spans="1:24">
      <c r="A215" s="221" t="s">
        <v>49</v>
      </c>
      <c r="B215" s="222"/>
      <c r="C215" s="222"/>
      <c r="D215" s="222"/>
      <c r="E215" s="222"/>
      <c r="F215" s="222"/>
      <c r="G215" s="222"/>
      <c r="H215" s="222"/>
      <c r="I215" s="223">
        <f>SUM(I211:I214)</f>
        <v>90000</v>
      </c>
      <c r="J215" s="223">
        <f>SUM(J211:J214)</f>
        <v>0</v>
      </c>
      <c r="K215" s="223">
        <f>SUM(K211:K214)</f>
        <v>0</v>
      </c>
      <c r="L215" s="223">
        <f t="shared" ref="L215:U215" si="135">SUM(L211:L214)</f>
        <v>1500</v>
      </c>
      <c r="M215" s="223">
        <f t="shared" si="135"/>
        <v>500</v>
      </c>
      <c r="N215" s="223">
        <f t="shared" si="135"/>
        <v>250</v>
      </c>
      <c r="O215" s="223">
        <f t="shared" si="135"/>
        <v>0</v>
      </c>
      <c r="P215" s="223">
        <f t="shared" si="135"/>
        <v>0</v>
      </c>
      <c r="Q215" s="223">
        <f t="shared" si="135"/>
        <v>0</v>
      </c>
      <c r="R215" s="223">
        <f t="shared" si="135"/>
        <v>0</v>
      </c>
      <c r="S215" s="223">
        <f t="shared" si="135"/>
        <v>500</v>
      </c>
      <c r="T215" s="223">
        <f t="shared" si="135"/>
        <v>350</v>
      </c>
      <c r="U215" s="223">
        <f t="shared" si="135"/>
        <v>0</v>
      </c>
      <c r="V215" s="223">
        <f>SUM(J215:U215)</f>
        <v>3100</v>
      </c>
      <c r="W215" s="150"/>
      <c r="X215" s="70"/>
    </row>
    <row r="216" spans="1:24">
      <c r="A216" s="224"/>
      <c r="B216" s="225"/>
      <c r="C216" s="225"/>
      <c r="D216" s="225"/>
      <c r="E216" s="225"/>
      <c r="F216" s="225"/>
      <c r="G216" s="225"/>
      <c r="H216" s="225"/>
      <c r="I216" s="226"/>
      <c r="J216" s="226"/>
      <c r="K216" s="226"/>
      <c r="L216" s="226"/>
      <c r="M216" s="226"/>
      <c r="N216" s="226"/>
      <c r="O216" s="226"/>
      <c r="P216" s="226"/>
      <c r="Q216" s="226"/>
      <c r="R216" s="226"/>
      <c r="S216" s="226"/>
      <c r="T216" s="226"/>
      <c r="U216" s="226"/>
      <c r="V216" s="226"/>
      <c r="W216" s="72"/>
      <c r="X216" s="70"/>
    </row>
    <row r="217" spans="1:24">
      <c r="A217" s="210"/>
      <c r="B217" s="210"/>
      <c r="C217" s="210"/>
      <c r="D217" s="210"/>
      <c r="E217" s="210"/>
      <c r="F217" s="210"/>
      <c r="G217" s="210"/>
      <c r="H217" s="210"/>
      <c r="I217" s="211"/>
      <c r="J217" s="211"/>
      <c r="K217" s="211"/>
      <c r="L217" s="211"/>
      <c r="M217" s="211"/>
      <c r="N217" s="211"/>
      <c r="O217" s="211"/>
      <c r="P217" s="211"/>
      <c r="Q217" s="211"/>
      <c r="R217" s="211"/>
      <c r="S217" s="211"/>
      <c r="T217" s="211"/>
      <c r="U217" s="211"/>
      <c r="V217" s="211"/>
      <c r="X217" s="70"/>
    </row>
    <row r="218" spans="1:24">
      <c r="A218" s="214" t="s">
        <v>48</v>
      </c>
      <c r="B218" s="215"/>
      <c r="C218" s="215"/>
      <c r="D218" s="215"/>
      <c r="E218" s="215"/>
      <c r="F218" s="215"/>
      <c r="G218" s="215"/>
      <c r="H218" s="215"/>
      <c r="I218" s="227"/>
      <c r="J218" s="227"/>
      <c r="K218" s="227"/>
      <c r="L218" s="227"/>
      <c r="M218" s="227"/>
      <c r="N218" s="227"/>
      <c r="O218" s="227"/>
      <c r="P218" s="227"/>
      <c r="Q218" s="227"/>
      <c r="R218" s="227"/>
      <c r="S218" s="227"/>
      <c r="T218" s="227"/>
      <c r="U218" s="227"/>
      <c r="V218" s="227"/>
      <c r="W218" s="72"/>
      <c r="X218" s="70"/>
    </row>
    <row r="219" spans="1:24">
      <c r="A219" s="228" t="s">
        <v>42</v>
      </c>
      <c r="B219" s="215"/>
      <c r="C219" s="215"/>
      <c r="D219" s="215"/>
      <c r="E219" s="215"/>
      <c r="F219" s="215"/>
      <c r="G219" s="215"/>
      <c r="H219" s="215"/>
      <c r="I219" s="227">
        <f>I211*H211</f>
        <v>4500</v>
      </c>
      <c r="J219" s="227">
        <f>(I219/12)+((J211*$H211)/12)</f>
        <v>375</v>
      </c>
      <c r="K219" s="227">
        <f t="shared" ref="K219:U219" si="136">J219+((K211*$H211)/12)</f>
        <v>375</v>
      </c>
      <c r="L219" s="227">
        <f t="shared" si="136"/>
        <v>375</v>
      </c>
      <c r="M219" s="227">
        <f t="shared" si="136"/>
        <v>375</v>
      </c>
      <c r="N219" s="227">
        <f t="shared" si="136"/>
        <v>375</v>
      </c>
      <c r="O219" s="227">
        <f t="shared" si="136"/>
        <v>375</v>
      </c>
      <c r="P219" s="227">
        <f t="shared" si="136"/>
        <v>375</v>
      </c>
      <c r="Q219" s="227">
        <f t="shared" si="136"/>
        <v>375</v>
      </c>
      <c r="R219" s="227">
        <f t="shared" si="136"/>
        <v>375</v>
      </c>
      <c r="S219" s="227">
        <f t="shared" si="136"/>
        <v>375</v>
      </c>
      <c r="T219" s="227">
        <f t="shared" si="136"/>
        <v>375</v>
      </c>
      <c r="U219" s="227">
        <f t="shared" si="136"/>
        <v>375</v>
      </c>
      <c r="V219" s="217">
        <f>SUM(J219:U219)</f>
        <v>4500</v>
      </c>
      <c r="W219" s="72"/>
      <c r="X219" s="70"/>
    </row>
    <row r="220" spans="1:24">
      <c r="A220" s="228" t="s">
        <v>43</v>
      </c>
      <c r="B220" s="215"/>
      <c r="C220" s="215"/>
      <c r="D220" s="215"/>
      <c r="E220" s="215"/>
      <c r="F220" s="215"/>
      <c r="G220" s="215"/>
      <c r="H220" s="215"/>
      <c r="I220" s="227">
        <f>I212*H212</f>
        <v>5000</v>
      </c>
      <c r="J220" s="227">
        <f>(I220/12)+((J212*$H212)/12)</f>
        <v>416.66666666666669</v>
      </c>
      <c r="K220" s="227">
        <f t="shared" ref="K220:U220" si="137">J220+((K212*$H212)/12)</f>
        <v>416.66666666666669</v>
      </c>
      <c r="L220" s="227">
        <f t="shared" si="137"/>
        <v>441.66666666666669</v>
      </c>
      <c r="M220" s="227">
        <f t="shared" si="137"/>
        <v>441.66666666666669</v>
      </c>
      <c r="N220" s="227">
        <f t="shared" si="137"/>
        <v>441.66666666666669</v>
      </c>
      <c r="O220" s="227">
        <f t="shared" si="137"/>
        <v>441.66666666666669</v>
      </c>
      <c r="P220" s="227">
        <f t="shared" si="137"/>
        <v>441.66666666666669</v>
      </c>
      <c r="Q220" s="227">
        <f t="shared" si="137"/>
        <v>441.66666666666669</v>
      </c>
      <c r="R220" s="227">
        <f t="shared" si="137"/>
        <v>441.66666666666669</v>
      </c>
      <c r="S220" s="227">
        <f t="shared" si="137"/>
        <v>450</v>
      </c>
      <c r="T220" s="227">
        <f t="shared" si="137"/>
        <v>450</v>
      </c>
      <c r="U220" s="227">
        <f t="shared" si="137"/>
        <v>450</v>
      </c>
      <c r="V220" s="217">
        <f t="shared" ref="V220:V222" si="138">SUM(J220:U220)</f>
        <v>5275</v>
      </c>
      <c r="W220" s="72"/>
      <c r="X220" s="70"/>
    </row>
    <row r="221" spans="1:24">
      <c r="A221" s="228" t="s">
        <v>44</v>
      </c>
      <c r="B221" s="215"/>
      <c r="C221" s="215"/>
      <c r="D221" s="215"/>
      <c r="E221" s="215"/>
      <c r="F221" s="215"/>
      <c r="G221" s="215"/>
      <c r="H221" s="215"/>
      <c r="I221" s="227">
        <f>I213*H213</f>
        <v>5000</v>
      </c>
      <c r="J221" s="227">
        <f>(I221/12)+((J213*$H213)/12)</f>
        <v>416.66666666666669</v>
      </c>
      <c r="K221" s="227">
        <f t="shared" ref="K221:U221" si="139">J221+((K213*$H213)/12)</f>
        <v>416.66666666666669</v>
      </c>
      <c r="L221" s="227">
        <f t="shared" si="139"/>
        <v>416.66666666666669</v>
      </c>
      <c r="M221" s="227">
        <f t="shared" si="139"/>
        <v>430.5555555555556</v>
      </c>
      <c r="N221" s="227">
        <f t="shared" si="139"/>
        <v>430.5555555555556</v>
      </c>
      <c r="O221" s="227">
        <f t="shared" si="139"/>
        <v>430.5555555555556</v>
      </c>
      <c r="P221" s="227">
        <f t="shared" si="139"/>
        <v>430.5555555555556</v>
      </c>
      <c r="Q221" s="227">
        <f t="shared" si="139"/>
        <v>430.5555555555556</v>
      </c>
      <c r="R221" s="227">
        <f t="shared" si="139"/>
        <v>430.5555555555556</v>
      </c>
      <c r="S221" s="227">
        <f t="shared" si="139"/>
        <v>430.5555555555556</v>
      </c>
      <c r="T221" s="227">
        <f t="shared" si="139"/>
        <v>440.27777777777783</v>
      </c>
      <c r="U221" s="227">
        <f t="shared" si="139"/>
        <v>440.27777777777783</v>
      </c>
      <c r="V221" s="217">
        <f t="shared" si="138"/>
        <v>5144.4444444444453</v>
      </c>
      <c r="W221" s="72"/>
      <c r="X221" s="70"/>
    </row>
    <row r="222" spans="1:24">
      <c r="A222" s="228" t="s">
        <v>45</v>
      </c>
      <c r="B222" s="215"/>
      <c r="C222" s="215"/>
      <c r="D222" s="215"/>
      <c r="E222" s="215"/>
      <c r="F222" s="215"/>
      <c r="G222" s="215"/>
      <c r="H222" s="215"/>
      <c r="I222" s="227">
        <f>I214*H214</f>
        <v>1666.6666666666665</v>
      </c>
      <c r="J222" s="227">
        <f>(I222/12)+((J214*$H214)/12)</f>
        <v>138.88888888888889</v>
      </c>
      <c r="K222" s="227">
        <f t="shared" ref="K222:U222" si="140">J222+((K214*$H214)/12)</f>
        <v>138.88888888888889</v>
      </c>
      <c r="L222" s="227">
        <f t="shared" si="140"/>
        <v>138.88888888888889</v>
      </c>
      <c r="M222" s="227">
        <f t="shared" si="140"/>
        <v>138.88888888888889</v>
      </c>
      <c r="N222" s="227">
        <f t="shared" si="140"/>
        <v>145.83333333333334</v>
      </c>
      <c r="O222" s="227">
        <f t="shared" si="140"/>
        <v>145.83333333333334</v>
      </c>
      <c r="P222" s="227">
        <f t="shared" si="140"/>
        <v>145.83333333333334</v>
      </c>
      <c r="Q222" s="227">
        <f t="shared" si="140"/>
        <v>145.83333333333334</v>
      </c>
      <c r="R222" s="227">
        <f t="shared" si="140"/>
        <v>145.83333333333334</v>
      </c>
      <c r="S222" s="227">
        <f t="shared" si="140"/>
        <v>145.83333333333334</v>
      </c>
      <c r="T222" s="227">
        <f t="shared" si="140"/>
        <v>145.83333333333334</v>
      </c>
      <c r="U222" s="227">
        <f t="shared" si="140"/>
        <v>145.83333333333334</v>
      </c>
      <c r="V222" s="217">
        <f t="shared" si="138"/>
        <v>1722.2222222222219</v>
      </c>
      <c r="W222" s="72"/>
      <c r="X222" s="70"/>
    </row>
    <row r="223" spans="1:24" ht="13.5" thickBot="1">
      <c r="A223" s="229"/>
      <c r="B223" s="230"/>
      <c r="C223" s="230"/>
      <c r="D223" s="230"/>
      <c r="E223" s="230"/>
      <c r="F223" s="230"/>
      <c r="G223" s="230"/>
      <c r="H223" s="230"/>
      <c r="I223" s="231">
        <f>SUM(I219:I222)</f>
        <v>16166.666666666666</v>
      </c>
      <c r="J223" s="231">
        <f t="shared" ref="J223:V223" si="141">SUM(J219:J222)</f>
        <v>1347.2222222222224</v>
      </c>
      <c r="K223" s="231">
        <f t="shared" si="141"/>
        <v>1347.2222222222224</v>
      </c>
      <c r="L223" s="231">
        <f t="shared" si="141"/>
        <v>1372.2222222222224</v>
      </c>
      <c r="M223" s="231">
        <f t="shared" si="141"/>
        <v>1386.1111111111113</v>
      </c>
      <c r="N223" s="231">
        <f t="shared" si="141"/>
        <v>1393.0555555555557</v>
      </c>
      <c r="O223" s="231">
        <f t="shared" si="141"/>
        <v>1393.0555555555557</v>
      </c>
      <c r="P223" s="231">
        <f t="shared" si="141"/>
        <v>1393.0555555555557</v>
      </c>
      <c r="Q223" s="231">
        <f t="shared" si="141"/>
        <v>1393.0555555555557</v>
      </c>
      <c r="R223" s="231">
        <f t="shared" si="141"/>
        <v>1393.0555555555557</v>
      </c>
      <c r="S223" s="231">
        <f t="shared" si="141"/>
        <v>1401.3888888888889</v>
      </c>
      <c r="T223" s="231">
        <f t="shared" si="141"/>
        <v>1411.1111111111111</v>
      </c>
      <c r="U223" s="231">
        <f t="shared" si="141"/>
        <v>1411.1111111111111</v>
      </c>
      <c r="V223" s="231">
        <f t="shared" si="141"/>
        <v>16641.666666666668</v>
      </c>
      <c r="W223" s="72"/>
      <c r="X223" s="70"/>
    </row>
    <row r="224" spans="1:24">
      <c r="A224" s="210"/>
      <c r="B224" s="210"/>
      <c r="C224" s="210"/>
      <c r="D224" s="210"/>
      <c r="E224" s="210"/>
      <c r="F224" s="210"/>
      <c r="G224" s="210"/>
      <c r="H224" s="210"/>
      <c r="I224" s="211"/>
      <c r="J224" s="211"/>
      <c r="K224" s="211"/>
      <c r="L224" s="211"/>
      <c r="M224" s="211"/>
      <c r="N224" s="211"/>
      <c r="O224" s="211"/>
      <c r="P224" s="211"/>
      <c r="Q224" s="211"/>
      <c r="R224" s="211"/>
      <c r="S224" s="211"/>
      <c r="T224" s="211"/>
      <c r="U224" s="211"/>
      <c r="V224" s="211"/>
      <c r="X224" s="70"/>
    </row>
    <row r="225" spans="1:24">
      <c r="A225" s="206"/>
      <c r="B225" s="207"/>
      <c r="C225" s="207"/>
      <c r="D225" s="207"/>
      <c r="E225" s="207"/>
      <c r="F225" s="207"/>
      <c r="G225" s="207"/>
      <c r="H225" s="207"/>
      <c r="I225" s="208"/>
      <c r="J225" s="208"/>
      <c r="K225" s="208"/>
      <c r="L225" s="208"/>
      <c r="M225" s="208"/>
      <c r="N225" s="208"/>
      <c r="O225" s="208"/>
      <c r="P225" s="208"/>
      <c r="Q225" s="208"/>
      <c r="R225" s="208"/>
      <c r="S225" s="208"/>
      <c r="T225" s="208"/>
      <c r="U225" s="208"/>
      <c r="V225" s="208"/>
      <c r="W225" s="72"/>
      <c r="X225" s="70"/>
    </row>
  </sheetData>
  <sheetProtection algorithmName="SHA-512" hashValue="o7oRn8XFzYPnAI9ycFhGbhyLS5Ho7IQAdNL4swVSt32LLA3fB9IEqEpjzI3LnxjpjWk1A2Gk+2WvCC+1ZQvkcA==" saltValue="ZczX7ItF6ZYvWP9WuDuTLw==" spinCount="100000" sheet="1" objects="1" scenarios="1"/>
  <mergeCells count="3">
    <mergeCell ref="H15:H19"/>
    <mergeCell ref="H95:H99"/>
    <mergeCell ref="H123:H127"/>
  </mergeCells>
  <dataValidations count="5">
    <dataValidation type="list" allowBlank="1" showInputMessage="1" showErrorMessage="1" sqref="E45:E49" xr:uid="{484012EF-CD3F-463D-B1BD-035B4D1AD2C7}">
      <formula1>GP_Growth</formula1>
    </dataValidation>
    <dataValidation type="list" allowBlank="1" showInputMessage="1" showErrorMessage="1" sqref="B186 E196" xr:uid="{556899AE-9B97-4529-B931-8C7C8FE67E1E}">
      <formula1>InterestR</formula1>
    </dataValidation>
    <dataValidation type="list" allowBlank="1" showInputMessage="1" showErrorMessage="1" sqref="E108:E112 E136:E140 E152:E154 E158" xr:uid="{FAA57302-6BBD-4AD9-BD4E-9A73F3032193}">
      <formula1>Credit_days</formula1>
    </dataValidation>
    <dataValidation type="list" allowBlank="1" showInputMessage="1" showErrorMessage="1" sqref="D152:D154 D158" xr:uid="{D2B6033D-3E48-4576-89A4-76BDB10F05E9}">
      <formula1>PaymentT</formula1>
    </dataValidation>
    <dataValidation type="list" allowBlank="1" showInputMessage="1" showErrorMessage="1" sqref="E157" xr:uid="{D9C23086-4D9E-4BCB-988E-30FA3AADDF17}">
      <formula1>Frequency</formula1>
    </dataValidation>
  </dataValidations>
  <pageMargins left="0.25" right="0.25" top="0.75" bottom="0.75" header="0.3" footer="0.3"/>
  <pageSetup paperSize="9" scale="80" orientation="landscape" r:id="rId1"/>
  <rowBreaks count="3" manualBreakCount="3">
    <brk id="91" max="16383" man="1"/>
    <brk id="149" max="16383" man="1"/>
    <brk id="205" max="20" man="1"/>
  </rowBreaks>
  <customProperties>
    <customPr name="EpmWorksheetKeyString_GUID" r:id="rId2"/>
  </customPropertie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6" r:id="rId5" name="Drop Down 32">
              <controlPr defaultSize="0" autoLine="0" autoPict="0">
                <anchor moveWithCells="1">
                  <from>
                    <xdr:col>2</xdr:col>
                    <xdr:colOff>0</xdr:colOff>
                    <xdr:row>102</xdr:row>
                    <xdr:rowOff>85725</xdr:rowOff>
                  </from>
                  <to>
                    <xdr:col>3</xdr:col>
                    <xdr:colOff>257175</xdr:colOff>
                    <xdr:row>103</xdr:row>
                    <xdr:rowOff>57150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A782ED56-F032-4C81-9B4E-9941E95A354B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5</xm:f>
              </x14:cfvo>
              <x14:cfIcon iconSet="3Symbols2" iconId="2"/>
              <x14:cfIcon iconSet="3Symbols2" iconId="2"/>
              <x14:cfIcon iconSet="3Symbols2" iconId="0"/>
            </x14:iconSet>
          </x14:cfRule>
          <xm:sqref>J2</xm:sqref>
        </x14:conditionalFormatting>
        <x14:conditionalFormatting xmlns:xm="http://schemas.microsoft.com/office/excel/2006/main">
          <x14:cfRule type="iconSet" priority="1" id="{C5DB7C6C-FC1E-4ACD-BA62-E32154CA7E08}">
            <x14:iconSet iconSet="3Symbols2" custom="1">
              <x14:cfvo type="percent">
                <xm:f>0</xm:f>
              </x14:cfvo>
              <x14:cfvo type="num">
                <xm:f>10</xm:f>
              </x14:cfvo>
              <x14:cfvo type="num">
                <xm:f>10</xm:f>
              </x14:cfvo>
              <x14:cfIcon iconSet="3Symbols2" iconId="2"/>
              <x14:cfIcon iconSet="3Symbols2" iconId="2"/>
              <x14:cfIcon iconSet="3Symbols2" iconId="0"/>
            </x14:iconSet>
          </x14:cfRule>
          <xm:sqref>K2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098B7-28FA-4C1A-A184-4C63C07BC5A2}">
  <sheetPr>
    <tabColor theme="4" tint="-0.499984740745262"/>
  </sheetPr>
  <dimension ref="A1:Z181"/>
  <sheetViews>
    <sheetView showGridLines="0" zoomScaleNormal="100" workbookViewId="0">
      <pane xSplit="9" ySplit="5" topLeftCell="J30" activePane="bottomRight" state="frozen"/>
      <selection pane="topRight" activeCell="M1" sqref="M1"/>
      <selection pane="bottomLeft" activeCell="A6" sqref="A6"/>
      <selection pane="bottomRight" activeCell="L42" sqref="L42"/>
    </sheetView>
  </sheetViews>
  <sheetFormatPr defaultColWidth="8.85546875" defaultRowHeight="12.75" outlineLevelRow="1"/>
  <cols>
    <col min="1" max="1" width="11.28515625" style="787" customWidth="1"/>
    <col min="2" max="2" width="7.85546875" style="787" customWidth="1"/>
    <col min="3" max="4" width="7" style="787" customWidth="1"/>
    <col min="5" max="5" width="6.42578125" style="787" bestFit="1" customWidth="1"/>
    <col min="6" max="6" width="2.85546875" style="787" bestFit="1" customWidth="1"/>
    <col min="7" max="7" width="2.5703125" style="787" customWidth="1"/>
    <col min="8" max="8" width="12" style="787" customWidth="1"/>
    <col min="9" max="9" width="12.7109375" style="787" customWidth="1"/>
    <col min="10" max="10" width="13.85546875" style="787" customWidth="1"/>
    <col min="11" max="11" width="11.85546875" style="787" bestFit="1" customWidth="1"/>
    <col min="12" max="12" width="12.42578125" style="787" bestFit="1" customWidth="1"/>
    <col min="13" max="13" width="12.28515625" style="787" customWidth="1"/>
    <col min="14" max="14" width="12.140625" style="787" customWidth="1"/>
    <col min="15" max="18" width="12.85546875" style="787" bestFit="1" customWidth="1"/>
    <col min="19" max="21" width="14.5703125" style="787" bestFit="1" customWidth="1"/>
    <col min="22" max="22" width="15.5703125" style="787" bestFit="1" customWidth="1"/>
    <col min="23" max="23" width="12.140625" style="787" customWidth="1"/>
    <col min="24" max="24" width="1.28515625" style="787" customWidth="1"/>
    <col min="25" max="25" width="14" style="819" bestFit="1" customWidth="1"/>
    <col min="26" max="16384" width="8.85546875" style="819"/>
  </cols>
  <sheetData>
    <row r="1" spans="1:26">
      <c r="A1" s="816" t="s">
        <v>123</v>
      </c>
      <c r="G1" s="817"/>
      <c r="X1" s="818"/>
      <c r="Z1" s="820" t="str">
        <f>"Revenue"&amp;" "&amp;TEXT($V$13,"₹ #,##0;[Red]₹ -#,##0")</f>
        <v>Revenue ₹ 30,99,95,338</v>
      </c>
    </row>
    <row r="2" spans="1:26">
      <c r="A2" s="821" t="s">
        <v>439</v>
      </c>
      <c r="I2" s="822"/>
      <c r="J2" s="823"/>
      <c r="K2" s="824"/>
      <c r="X2" s="818"/>
      <c r="Z2" s="820" t="str">
        <f>"Gross Profit"&amp;" "&amp;TEXT($V$60,"₹ #,##0;[Red]₹ -#,##0")</f>
        <v>Gross Profit ₹ 3,78,00,983</v>
      </c>
    </row>
    <row r="3" spans="1:26">
      <c r="A3" s="821" t="s">
        <v>21</v>
      </c>
      <c r="D3" s="817"/>
      <c r="E3" s="817"/>
      <c r="X3" s="818"/>
      <c r="Z3" s="820" t="str">
        <f>"Net Profit"&amp;" "&amp;TEXT($V$91,"₹ #,##0;[Red]₹ -#,##0")</f>
        <v>Net Profit ₹ 3,77,67,599</v>
      </c>
    </row>
    <row r="4" spans="1:26">
      <c r="I4" s="825"/>
      <c r="X4" s="818"/>
      <c r="Z4" s="820" t="str">
        <f ca="1">"OCF"&amp;" "&amp;TEXT($V$166,"₹ #,##0;[Red]₹ -#,##0")</f>
        <v>OCF ₹ 4,50,56,268</v>
      </c>
    </row>
    <row r="5" spans="1:26">
      <c r="A5" s="826" t="s">
        <v>22</v>
      </c>
      <c r="B5" s="827"/>
      <c r="C5" s="827"/>
      <c r="D5" s="827"/>
      <c r="E5" s="827"/>
      <c r="F5" s="827"/>
      <c r="G5" s="827"/>
      <c r="H5" s="827"/>
      <c r="I5" s="828">
        <v>44651</v>
      </c>
      <c r="J5" s="829">
        <f>EOMONTH(I5,1)</f>
        <v>44681</v>
      </c>
      <c r="K5" s="829">
        <f t="shared" ref="K5:U5" si="0">EOMONTH(J5,1)</f>
        <v>44712</v>
      </c>
      <c r="L5" s="829">
        <f t="shared" si="0"/>
        <v>44742</v>
      </c>
      <c r="M5" s="829">
        <f t="shared" si="0"/>
        <v>44773</v>
      </c>
      <c r="N5" s="829">
        <f t="shared" si="0"/>
        <v>44804</v>
      </c>
      <c r="O5" s="829">
        <f t="shared" si="0"/>
        <v>44834</v>
      </c>
      <c r="P5" s="829">
        <f t="shared" si="0"/>
        <v>44865</v>
      </c>
      <c r="Q5" s="829">
        <f t="shared" si="0"/>
        <v>44895</v>
      </c>
      <c r="R5" s="829">
        <f t="shared" si="0"/>
        <v>44926</v>
      </c>
      <c r="S5" s="829">
        <f t="shared" si="0"/>
        <v>44957</v>
      </c>
      <c r="T5" s="829">
        <f t="shared" si="0"/>
        <v>44985</v>
      </c>
      <c r="U5" s="829">
        <f t="shared" si="0"/>
        <v>45016</v>
      </c>
      <c r="V5" s="830" t="s">
        <v>12</v>
      </c>
      <c r="X5" s="818"/>
    </row>
    <row r="6" spans="1:26">
      <c r="A6" s="831" t="s">
        <v>13</v>
      </c>
      <c r="E6" s="832"/>
      <c r="J6" s="824"/>
      <c r="X6" s="818"/>
      <c r="Y6" s="833"/>
    </row>
    <row r="7" spans="1:26" ht="19.5" customHeight="1">
      <c r="A7" s="834" t="s">
        <v>243</v>
      </c>
      <c r="E7" s="835"/>
      <c r="F7" s="836"/>
      <c r="I7" s="837"/>
      <c r="J7" s="807">
        <v>1753241.69553424</v>
      </c>
      <c r="K7" s="807">
        <v>1363730.0693626599</v>
      </c>
      <c r="L7" s="807">
        <v>1610664.95399768</v>
      </c>
      <c r="M7" s="807">
        <v>1655847.4339713501</v>
      </c>
      <c r="N7" s="807">
        <v>1749738.20049974</v>
      </c>
      <c r="O7" s="807">
        <v>1824923.3277699701</v>
      </c>
      <c r="P7" s="807">
        <v>1654412.42560564</v>
      </c>
      <c r="Q7" s="807">
        <v>1636863.38920513</v>
      </c>
      <c r="R7" s="807">
        <v>998397.91019931703</v>
      </c>
      <c r="S7" s="807">
        <v>1048074.64945091</v>
      </c>
      <c r="T7" s="807">
        <v>907929.80163693894</v>
      </c>
      <c r="U7" s="807">
        <v>936767.40381206397</v>
      </c>
      <c r="V7" s="838">
        <f>SUM(J7:U7)</f>
        <v>17140591.261045642</v>
      </c>
      <c r="W7" s="824"/>
      <c r="X7" s="818"/>
      <c r="Z7" s="820" t="str">
        <f>"Revenue"&amp;" "&amp;TEXT($V$13,"₹ #,##0;[Red]₹ -#,##0")</f>
        <v>Revenue ₹ 30,99,95,338</v>
      </c>
    </row>
    <row r="8" spans="1:26" ht="19.5" customHeight="1">
      <c r="A8" s="834" t="s">
        <v>244</v>
      </c>
      <c r="C8" s="839"/>
      <c r="E8" s="835"/>
      <c r="F8" s="836"/>
      <c r="I8" s="837"/>
      <c r="J8" s="807">
        <v>20328860.558858801</v>
      </c>
      <c r="K8" s="807">
        <v>22337005.376827098</v>
      </c>
      <c r="L8" s="807">
        <v>21537819.858623881</v>
      </c>
      <c r="M8" s="807">
        <v>22397261.338309273</v>
      </c>
      <c r="N8" s="807">
        <v>32902212.327148579</v>
      </c>
      <c r="O8" s="807">
        <v>37044419.473091334</v>
      </c>
      <c r="P8" s="807">
        <v>29919285.477268036</v>
      </c>
      <c r="Q8" s="807">
        <v>30236690.569844455</v>
      </c>
      <c r="R8" s="807">
        <v>12296292.362160914</v>
      </c>
      <c r="S8" s="807">
        <v>23531952.306098402</v>
      </c>
      <c r="T8" s="807">
        <v>12730061.359315701</v>
      </c>
      <c r="U8" s="807">
        <v>15654115.0881669</v>
      </c>
      <c r="V8" s="838">
        <f t="shared" ref="V8:V11" si="1">SUM(J8:U8)</f>
        <v>280915976.09571338</v>
      </c>
      <c r="W8" s="824"/>
      <c r="X8" s="818"/>
      <c r="Z8" s="820" t="str">
        <f>"Gross Profit"&amp;" "&amp;TEXT($V$60,"[$$-en-US]#,##0_);([$$-en-US]#,##0)")</f>
        <v xml:space="preserve">Gross Profit $3,78,00,983 </v>
      </c>
    </row>
    <row r="9" spans="1:26" ht="19.5" customHeight="1">
      <c r="A9" s="834" t="s">
        <v>245</v>
      </c>
      <c r="E9" s="835"/>
      <c r="F9" s="836"/>
      <c r="I9" s="837"/>
      <c r="J9" s="807">
        <v>0</v>
      </c>
      <c r="K9" s="807">
        <v>297530</v>
      </c>
      <c r="L9" s="807">
        <v>675060</v>
      </c>
      <c r="M9" s="807">
        <v>0</v>
      </c>
      <c r="N9" s="807">
        <v>470457</v>
      </c>
      <c r="O9" s="807">
        <v>840914</v>
      </c>
      <c r="P9" s="807">
        <v>478045</v>
      </c>
      <c r="Q9" s="807">
        <v>656090</v>
      </c>
      <c r="R9" s="807">
        <v>0</v>
      </c>
      <c r="S9" s="807">
        <v>0</v>
      </c>
      <c r="T9" s="807">
        <v>89022.5</v>
      </c>
      <c r="U9" s="807">
        <v>89022.5</v>
      </c>
      <c r="V9" s="838">
        <f t="shared" si="1"/>
        <v>3596141</v>
      </c>
      <c r="W9" s="824"/>
      <c r="X9" s="818"/>
      <c r="Z9" s="820" t="str">
        <f>"Net Profit"&amp;" "&amp;TEXT($V$91,"[$$-en-US]#,##0_);([$$-en-US]#,##0)")</f>
        <v xml:space="preserve">Net Profit $3,77,67,599 </v>
      </c>
    </row>
    <row r="10" spans="1:26" ht="19.5" customHeight="1">
      <c r="A10" s="834" t="s">
        <v>246</v>
      </c>
      <c r="E10" s="835"/>
      <c r="F10" s="836"/>
      <c r="I10" s="837"/>
      <c r="J10" s="807">
        <v>0</v>
      </c>
      <c r="K10" s="807">
        <v>0</v>
      </c>
      <c r="L10" s="807">
        <v>1028105.1755317624</v>
      </c>
      <c r="M10" s="807">
        <v>495599.73591296619</v>
      </c>
      <c r="N10" s="807">
        <v>1965425.6336653563</v>
      </c>
      <c r="O10" s="807">
        <v>2550526.4885036028</v>
      </c>
      <c r="P10" s="807">
        <v>1252608.752992508</v>
      </c>
      <c r="Q10" s="807">
        <v>957333.95851537166</v>
      </c>
      <c r="R10" s="807">
        <v>85733.395851537163</v>
      </c>
      <c r="S10" s="807">
        <v>6573.3395851537161</v>
      </c>
      <c r="T10" s="807">
        <v>657.33395851537182</v>
      </c>
      <c r="U10" s="807">
        <v>65.733395851537182</v>
      </c>
      <c r="V10" s="838">
        <f t="shared" si="1"/>
        <v>8342629.5479126237</v>
      </c>
      <c r="W10" s="824"/>
      <c r="X10" s="818"/>
      <c r="Z10" s="820" t="str">
        <f ca="1">"OCF"&amp;" "&amp;TEXT($V$166,"[$$-en-US]#,##0_);([$$-en-US]#,##0)")</f>
        <v xml:space="preserve">OCF $4,50,56,268 </v>
      </c>
    </row>
    <row r="11" spans="1:26" ht="19.5" customHeight="1">
      <c r="A11" s="834" t="s">
        <v>247</v>
      </c>
      <c r="E11" s="835"/>
      <c r="F11" s="836"/>
      <c r="I11" s="837"/>
      <c r="J11" s="807">
        <v>0</v>
      </c>
      <c r="K11" s="807">
        <v>0</v>
      </c>
      <c r="L11" s="807">
        <v>0</v>
      </c>
      <c r="M11" s="807">
        <v>0</v>
      </c>
      <c r="N11" s="807">
        <v>0</v>
      </c>
      <c r="O11" s="807">
        <v>0</v>
      </c>
      <c r="P11" s="807">
        <v>0</v>
      </c>
      <c r="Q11" s="807">
        <v>0</v>
      </c>
      <c r="R11" s="807">
        <v>0</v>
      </c>
      <c r="S11" s="807">
        <v>0</v>
      </c>
      <c r="T11" s="807">
        <v>0</v>
      </c>
      <c r="U11" s="807">
        <v>0</v>
      </c>
      <c r="V11" s="838">
        <f t="shared" si="1"/>
        <v>0</v>
      </c>
      <c r="W11" s="824"/>
      <c r="X11" s="818"/>
      <c r="Z11" s="817"/>
    </row>
    <row r="12" spans="1:26" ht="6.75" customHeight="1" thickBot="1">
      <c r="I12" s="795"/>
      <c r="J12" s="795"/>
      <c r="K12" s="795"/>
      <c r="L12" s="795"/>
      <c r="M12" s="795"/>
      <c r="N12" s="795"/>
      <c r="O12" s="795"/>
      <c r="P12" s="795"/>
      <c r="Q12" s="795"/>
      <c r="R12" s="795"/>
      <c r="S12" s="795"/>
      <c r="T12" s="795"/>
      <c r="U12" s="795"/>
      <c r="V12" s="795"/>
      <c r="W12" s="824"/>
      <c r="X12" s="818"/>
      <c r="Z12" s="840"/>
    </row>
    <row r="13" spans="1:26">
      <c r="A13" s="841" t="s">
        <v>61</v>
      </c>
      <c r="B13" s="842"/>
      <c r="C13" s="842"/>
      <c r="D13" s="842"/>
      <c r="E13" s="842"/>
      <c r="F13" s="842"/>
      <c r="G13" s="842"/>
      <c r="H13" s="842"/>
      <c r="I13" s="843">
        <f>SUM(I7:I12)</f>
        <v>0</v>
      </c>
      <c r="J13" s="844">
        <f t="shared" ref="J13:V13" si="2">SUM(J7:J12)</f>
        <v>22082102.254393041</v>
      </c>
      <c r="K13" s="844">
        <f t="shared" si="2"/>
        <v>23998265.446189757</v>
      </c>
      <c r="L13" s="844">
        <f t="shared" si="2"/>
        <v>24851649.988153324</v>
      </c>
      <c r="M13" s="844">
        <f t="shared" si="2"/>
        <v>24548708.50819359</v>
      </c>
      <c r="N13" s="844">
        <f t="shared" si="2"/>
        <v>37087833.161313675</v>
      </c>
      <c r="O13" s="844">
        <f t="shared" si="2"/>
        <v>42260783.289364912</v>
      </c>
      <c r="P13" s="844">
        <f t="shared" si="2"/>
        <v>33304351.655866183</v>
      </c>
      <c r="Q13" s="844">
        <f t="shared" si="2"/>
        <v>33486977.917564958</v>
      </c>
      <c r="R13" s="844">
        <f t="shared" si="2"/>
        <v>13380423.668211767</v>
      </c>
      <c r="S13" s="844">
        <f t="shared" si="2"/>
        <v>24586600.295134466</v>
      </c>
      <c r="T13" s="844">
        <f t="shared" si="2"/>
        <v>13727670.994911155</v>
      </c>
      <c r="U13" s="844">
        <f t="shared" si="2"/>
        <v>16679970.725374816</v>
      </c>
      <c r="V13" s="845">
        <f t="shared" si="2"/>
        <v>309995337.90467161</v>
      </c>
      <c r="W13" s="824"/>
      <c r="X13" s="818"/>
      <c r="Z13" s="817"/>
    </row>
    <row r="14" spans="1:26" outlineLevel="1">
      <c r="I14" s="846"/>
      <c r="J14" s="847"/>
      <c r="K14" s="848"/>
      <c r="L14" s="848"/>
      <c r="M14" s="848"/>
      <c r="N14" s="848"/>
      <c r="O14" s="848"/>
      <c r="P14" s="848"/>
      <c r="Q14" s="848"/>
      <c r="R14" s="848"/>
      <c r="S14" s="848"/>
      <c r="T14" s="848"/>
      <c r="U14" s="848"/>
      <c r="V14" s="848"/>
      <c r="X14" s="818"/>
      <c r="Z14" s="817"/>
    </row>
    <row r="15" spans="1:26" outlineLevel="1">
      <c r="D15" s="849"/>
      <c r="H15" s="1197" t="s">
        <v>281</v>
      </c>
      <c r="I15" s="850" t="str">
        <f>A7</f>
        <v>Inputs</v>
      </c>
      <c r="J15" s="851">
        <f>AVERAGE('Master Assumptions'!$T$167:$T$212)</f>
        <v>0.19456521739130442</v>
      </c>
      <c r="K15" s="851">
        <f>AVERAGE('Master Assumptions'!$T$167:$T$212)</f>
        <v>0.19456521739130442</v>
      </c>
      <c r="L15" s="851">
        <f>AVERAGE('Master Assumptions'!$T$167:$T$212)</f>
        <v>0.19456521739130442</v>
      </c>
      <c r="M15" s="851">
        <f>AVERAGE('Master Assumptions'!$U$167:$U$212)</f>
        <v>0.13739130434782612</v>
      </c>
      <c r="N15" s="851">
        <f>AVERAGE('Master Assumptions'!$U$167:$U$212)</f>
        <v>0.13739130434782612</v>
      </c>
      <c r="O15" s="851">
        <f>AVERAGE('Master Assumptions'!$U$167:$U$212)</f>
        <v>0.13739130434782612</v>
      </c>
      <c r="P15" s="851">
        <f>AVERAGE('Master Assumptions'!$V$167:$V$212)</f>
        <v>0.17173913043478264</v>
      </c>
      <c r="Q15" s="851">
        <f>AVERAGE('Master Assumptions'!$V$167:$V$212)</f>
        <v>0.17173913043478264</v>
      </c>
      <c r="R15" s="851">
        <f>AVERAGE('Master Assumptions'!$V$167:$V$212)</f>
        <v>0.17173913043478264</v>
      </c>
      <c r="S15" s="851">
        <f>AVERAGE('Master Assumptions'!$W$167:$W$212)</f>
        <v>0.17173913043478264</v>
      </c>
      <c r="T15" s="851">
        <f>AVERAGE('Master Assumptions'!$W$167:$W$212)</f>
        <v>0.17173913043478264</v>
      </c>
      <c r="U15" s="851">
        <f>AVERAGE('Master Assumptions'!$W$167:$W$212)</f>
        <v>0.17173913043478264</v>
      </c>
      <c r="V15" s="852"/>
      <c r="X15" s="818"/>
      <c r="Z15" s="840"/>
    </row>
    <row r="16" spans="1:26" outlineLevel="1">
      <c r="A16" s="853"/>
      <c r="D16" s="849"/>
      <c r="E16" s="854"/>
      <c r="F16" s="855"/>
      <c r="G16" s="855"/>
      <c r="H16" s="1197"/>
      <c r="I16" s="856" t="str">
        <f>A8</f>
        <v>Output</v>
      </c>
      <c r="J16" s="851">
        <f>AVERAGE('Master Assumptions'!$T$240:$T$256)</f>
        <v>0.19705882352941176</v>
      </c>
      <c r="K16" s="851">
        <f>AVERAGE('Master Assumptions'!$T$240:$T$256)</f>
        <v>0.19705882352941176</v>
      </c>
      <c r="L16" s="851">
        <f>AVERAGE('Master Assumptions'!$T$240:$T$256)</f>
        <v>0.19705882352941176</v>
      </c>
      <c r="M16" s="851">
        <f>AVERAGE('Master Assumptions'!$U$240:$U$256)</f>
        <v>0.13470588235294118</v>
      </c>
      <c r="N16" s="851">
        <f>AVERAGE('Master Assumptions'!$U$240:$U$256)</f>
        <v>0.13470588235294118</v>
      </c>
      <c r="O16" s="851">
        <f>AVERAGE('Master Assumptions'!$U$240:$U$256)</f>
        <v>0.13470588235294118</v>
      </c>
      <c r="P16" s="851">
        <f>AVERAGE('Master Assumptions'!$V$240:$V$256)</f>
        <v>0.16764705882352943</v>
      </c>
      <c r="Q16" s="851">
        <f>AVERAGE('Master Assumptions'!$V$240:$V$256)</f>
        <v>0.16764705882352943</v>
      </c>
      <c r="R16" s="851">
        <f>AVERAGE('Master Assumptions'!$V$240:$V$256)</f>
        <v>0.16764705882352943</v>
      </c>
      <c r="S16" s="851">
        <f>AVERAGE('Master Assumptions'!$W$240:$W$256)</f>
        <v>0.16764705882352943</v>
      </c>
      <c r="T16" s="851">
        <f>AVERAGE('Master Assumptions'!$W$240:$W$256)</f>
        <v>0.16764705882352943</v>
      </c>
      <c r="U16" s="851">
        <f>AVERAGE('Master Assumptions'!$W$240:$W$256)</f>
        <v>0.16764705882352943</v>
      </c>
      <c r="V16" s="857"/>
      <c r="X16" s="818"/>
    </row>
    <row r="17" spans="1:24" outlineLevel="1">
      <c r="A17" s="853"/>
      <c r="D17" s="849"/>
      <c r="E17" s="854"/>
      <c r="F17" s="855"/>
      <c r="G17" s="855"/>
      <c r="H17" s="1197"/>
      <c r="I17" s="856" t="str">
        <f>A9</f>
        <v>Services</v>
      </c>
      <c r="J17" s="858">
        <f>AVERAGE('Master Assumptions'!$T$298:$T$309)</f>
        <v>0.19166666666666665</v>
      </c>
      <c r="K17" s="858">
        <f>AVERAGE('Master Assumptions'!$T$298:$T$309)</f>
        <v>0.19166666666666665</v>
      </c>
      <c r="L17" s="858">
        <f>AVERAGE('Master Assumptions'!$T$298:$T$309)</f>
        <v>0.19166666666666665</v>
      </c>
      <c r="M17" s="858">
        <f>AVERAGE('Master Assumptions'!$U$298:$U$309)</f>
        <v>0.13916666666666666</v>
      </c>
      <c r="N17" s="858">
        <f>AVERAGE('Master Assumptions'!$U$298:$U$309)</f>
        <v>0.13916666666666666</v>
      </c>
      <c r="O17" s="858">
        <f>AVERAGE('Master Assumptions'!$U$298:$U$309)</f>
        <v>0.13916666666666666</v>
      </c>
      <c r="P17" s="858">
        <f>AVERAGE('Master Assumptions'!$V$298:$V$309)</f>
        <v>0.16249999999999998</v>
      </c>
      <c r="Q17" s="858">
        <f>AVERAGE('Master Assumptions'!$V$298:$V$309)</f>
        <v>0.16249999999999998</v>
      </c>
      <c r="R17" s="858">
        <f>AVERAGE('Master Assumptions'!$V$298:$V$309)</f>
        <v>0.16249999999999998</v>
      </c>
      <c r="S17" s="858">
        <f>AVERAGE('Master Assumptions'!$W$298:$W$309)</f>
        <v>0.16249999999999998</v>
      </c>
      <c r="T17" s="858">
        <f>AVERAGE('Master Assumptions'!$W$298:$W$309)</f>
        <v>0.16249999999999998</v>
      </c>
      <c r="U17" s="858">
        <f>AVERAGE('Master Assumptions'!$W$298:$W$309)</f>
        <v>0.16249999999999998</v>
      </c>
      <c r="V17" s="857"/>
      <c r="X17" s="818"/>
    </row>
    <row r="18" spans="1:24" outlineLevel="1">
      <c r="A18" s="853"/>
      <c r="D18" s="849"/>
      <c r="E18" s="854"/>
      <c r="F18" s="855"/>
      <c r="G18" s="855"/>
      <c r="H18" s="1197"/>
      <c r="I18" s="856" t="str">
        <f>A10</f>
        <v>Processing</v>
      </c>
      <c r="J18" s="858">
        <f>Processing!$D$136</f>
        <v>0.29173005712317379</v>
      </c>
      <c r="K18" s="858">
        <f>Processing!$D$136</f>
        <v>0.29173005712317379</v>
      </c>
      <c r="L18" s="858">
        <f>Processing!$D$136</f>
        <v>0.29173005712317379</v>
      </c>
      <c r="M18" s="858">
        <f>Processing!$D$136</f>
        <v>0.29173005712317379</v>
      </c>
      <c r="N18" s="858">
        <f>Processing!$D$136</f>
        <v>0.29173005712317379</v>
      </c>
      <c r="O18" s="858">
        <f>Processing!$D$136</f>
        <v>0.29173005712317379</v>
      </c>
      <c r="P18" s="858">
        <f>Processing!$D$136</f>
        <v>0.29173005712317379</v>
      </c>
      <c r="Q18" s="858">
        <f>Processing!$D$136</f>
        <v>0.29173005712317379</v>
      </c>
      <c r="R18" s="858">
        <f>Processing!$D$136</f>
        <v>0.29173005712317379</v>
      </c>
      <c r="S18" s="858">
        <f>Processing!$D$136</f>
        <v>0.29173005712317379</v>
      </c>
      <c r="T18" s="858">
        <f>Processing!$D$136</f>
        <v>0.29173005712317379</v>
      </c>
      <c r="U18" s="858">
        <f>Processing!$D$136</f>
        <v>0.29173005712317379</v>
      </c>
      <c r="V18" s="857"/>
      <c r="X18" s="818"/>
    </row>
    <row r="19" spans="1:24" outlineLevel="1">
      <c r="A19" s="853"/>
      <c r="D19" s="849"/>
      <c r="E19" s="854"/>
      <c r="F19" s="855"/>
      <c r="G19" s="855"/>
      <c r="H19" s="1197"/>
      <c r="I19" s="859" t="str">
        <f>A11</f>
        <v>Others</v>
      </c>
      <c r="J19" s="860"/>
      <c r="K19" s="860"/>
      <c r="L19" s="860"/>
      <c r="M19" s="860"/>
      <c r="N19" s="860"/>
      <c r="O19" s="860"/>
      <c r="P19" s="860"/>
      <c r="Q19" s="860"/>
      <c r="R19" s="860"/>
      <c r="S19" s="860"/>
      <c r="T19" s="860"/>
      <c r="U19" s="860"/>
      <c r="V19" s="861"/>
      <c r="X19" s="818"/>
    </row>
    <row r="20" spans="1:24" outlineLevel="1">
      <c r="A20" s="853"/>
      <c r="D20" s="849"/>
      <c r="E20" s="854"/>
      <c r="F20" s="855"/>
      <c r="G20" s="855"/>
      <c r="H20" s="862"/>
      <c r="I20" s="863"/>
      <c r="J20" s="864"/>
      <c r="K20" s="864"/>
      <c r="L20" s="864"/>
      <c r="M20" s="864"/>
      <c r="N20" s="864"/>
      <c r="O20" s="864"/>
      <c r="P20" s="864"/>
      <c r="Q20" s="864"/>
      <c r="R20" s="864"/>
      <c r="S20" s="864"/>
      <c r="T20" s="864"/>
      <c r="U20" s="864"/>
      <c r="V20" s="848"/>
      <c r="X20" s="818"/>
    </row>
    <row r="21" spans="1:24" outlineLevel="1">
      <c r="A21" s="821" t="s">
        <v>28</v>
      </c>
      <c r="D21" s="849"/>
      <c r="E21" s="854"/>
      <c r="F21" s="855"/>
      <c r="G21" s="855"/>
      <c r="H21" s="862"/>
      <c r="I21" s="863"/>
      <c r="J21" s="865"/>
      <c r="K21" s="865"/>
      <c r="L21" s="865"/>
      <c r="M21" s="865"/>
      <c r="N21" s="865"/>
      <c r="O21" s="865"/>
      <c r="P21" s="865"/>
      <c r="Q21" s="865"/>
      <c r="R21" s="865"/>
      <c r="S21" s="865"/>
      <c r="T21" s="865"/>
      <c r="U21" s="865"/>
      <c r="V21" s="795"/>
      <c r="X21" s="818"/>
    </row>
    <row r="22" spans="1:24" outlineLevel="1">
      <c r="A22" s="853"/>
      <c r="D22" s="849"/>
      <c r="E22" s="854"/>
      <c r="F22" s="855"/>
      <c r="G22" s="855"/>
      <c r="H22" s="862"/>
      <c r="I22" s="863"/>
      <c r="J22" s="865"/>
      <c r="K22" s="865"/>
      <c r="L22" s="865"/>
      <c r="M22" s="865"/>
      <c r="N22" s="865"/>
      <c r="O22" s="865"/>
      <c r="P22" s="865"/>
      <c r="Q22" s="865"/>
      <c r="R22" s="865"/>
      <c r="S22" s="865"/>
      <c r="T22" s="865"/>
      <c r="U22" s="865"/>
      <c r="V22" s="795"/>
      <c r="X22" s="818"/>
    </row>
    <row r="23" spans="1:24" outlineLevel="1">
      <c r="A23" s="866" t="s">
        <v>25</v>
      </c>
      <c r="D23" s="849"/>
      <c r="E23" s="854"/>
      <c r="F23" s="855"/>
      <c r="G23" s="855"/>
      <c r="H23" s="862"/>
      <c r="I23" s="867"/>
      <c r="J23" s="868">
        <f>SUM(J24:J28)</f>
        <v>520536.17000000004</v>
      </c>
      <c r="K23" s="868">
        <f>SUM(K24:K28)</f>
        <v>2022098.3304999999</v>
      </c>
      <c r="L23" s="868">
        <f t="shared" ref="L23:V23" si="3">SUM(L24:L28)</f>
        <v>2172264.5425499999</v>
      </c>
      <c r="M23" s="868">
        <f t="shared" si="3"/>
        <v>2309509.7557549998</v>
      </c>
      <c r="N23" s="868">
        <f t="shared" si="3"/>
        <v>2483360.0595755004</v>
      </c>
      <c r="O23" s="868">
        <f t="shared" si="3"/>
        <v>3607301.6649575504</v>
      </c>
      <c r="P23" s="868">
        <f t="shared" si="3"/>
        <v>4018972.3929957557</v>
      </c>
      <c r="Q23" s="868">
        <f t="shared" si="3"/>
        <v>3105082.8707995759</v>
      </c>
      <c r="R23" s="868">
        <f t="shared" si="3"/>
        <v>3108223.7085799575</v>
      </c>
      <c r="S23" s="868">
        <f t="shared" si="3"/>
        <v>1297204.1416079958</v>
      </c>
      <c r="T23" s="868">
        <f t="shared" si="3"/>
        <v>2491492.7749107997</v>
      </c>
      <c r="U23" s="868">
        <f t="shared" si="3"/>
        <v>1430841.6382410801</v>
      </c>
      <c r="V23" s="868">
        <f t="shared" si="3"/>
        <v>520536.17000000004</v>
      </c>
      <c r="W23" s="795"/>
      <c r="X23" s="818"/>
    </row>
    <row r="24" spans="1:24" outlineLevel="1">
      <c r="A24" s="869" t="str">
        <f>A7</f>
        <v>Inputs</v>
      </c>
      <c r="D24" s="849"/>
      <c r="E24" s="854"/>
      <c r="F24" s="855"/>
      <c r="G24" s="855"/>
      <c r="H24" s="837"/>
      <c r="I24" s="837"/>
      <c r="J24" s="870">
        <f>I38</f>
        <v>497571.33</v>
      </c>
      <c r="K24" s="870">
        <f>J38</f>
        <v>135171.60649999999</v>
      </c>
      <c r="L24" s="870">
        <f t="shared" ref="L24:U24" si="4">K38</f>
        <v>98941.630150000012</v>
      </c>
      <c r="M24" s="870">
        <f t="shared" si="4"/>
        <v>103307.22451500001</v>
      </c>
      <c r="N24" s="870">
        <f t="shared" si="4"/>
        <v>132451.96645149999</v>
      </c>
      <c r="O24" s="870">
        <f t="shared" si="4"/>
        <v>122086.21564515001</v>
      </c>
      <c r="P24" s="870">
        <f t="shared" si="4"/>
        <v>129431.00806451502</v>
      </c>
      <c r="Q24" s="870">
        <f t="shared" si="4"/>
        <v>109468.09230645151</v>
      </c>
      <c r="R24" s="870">
        <f t="shared" si="4"/>
        <v>107803.99073064514</v>
      </c>
      <c r="S24" s="870">
        <f t="shared" si="4"/>
        <v>54847.049823064524</v>
      </c>
      <c r="T24" s="870">
        <f t="shared" si="4"/>
        <v>89901.945732306456</v>
      </c>
      <c r="U24" s="870">
        <f t="shared" si="4"/>
        <v>57647.435323230646</v>
      </c>
      <c r="V24" s="870">
        <f>J24</f>
        <v>497571.33</v>
      </c>
      <c r="W24" s="795"/>
      <c r="X24" s="818"/>
    </row>
    <row r="25" spans="1:24" outlineLevel="1">
      <c r="A25" s="869" t="str">
        <f t="shared" ref="A25:A28" si="5">A8</f>
        <v>Output</v>
      </c>
      <c r="D25" s="849"/>
      <c r="E25" s="854"/>
      <c r="F25" s="855"/>
      <c r="G25" s="855"/>
      <c r="H25" s="837"/>
      <c r="I25" s="837"/>
      <c r="J25" s="870">
        <f t="shared" ref="J25:U25" si="6">I39</f>
        <v>22964.840000000004</v>
      </c>
      <c r="K25" s="870">
        <f t="shared" si="6"/>
        <v>1886926.7239999999</v>
      </c>
      <c r="L25" s="870">
        <f t="shared" si="6"/>
        <v>2073322.9123999998</v>
      </c>
      <c r="M25" s="870">
        <f t="shared" si="6"/>
        <v>2091962.5312399999</v>
      </c>
      <c r="N25" s="870">
        <f t="shared" si="6"/>
        <v>2291074.4931240003</v>
      </c>
      <c r="O25" s="870">
        <f t="shared" si="6"/>
        <v>3290349.6893124003</v>
      </c>
      <c r="P25" s="870">
        <f t="shared" si="6"/>
        <v>3695957.2089312407</v>
      </c>
      <c r="Q25" s="870">
        <f t="shared" si="6"/>
        <v>2913673.9608931243</v>
      </c>
      <c r="R25" s="870">
        <f t="shared" si="6"/>
        <v>2943877.6360893124</v>
      </c>
      <c r="S25" s="870">
        <f t="shared" si="6"/>
        <v>1236702.8836089312</v>
      </c>
      <c r="T25" s="870">
        <f t="shared" si="6"/>
        <v>2401025.4083608934</v>
      </c>
      <c r="U25" s="870">
        <f t="shared" si="6"/>
        <v>1373137.6608360894</v>
      </c>
      <c r="V25" s="870">
        <f t="shared" ref="V25:V28" si="7">J25</f>
        <v>22964.840000000004</v>
      </c>
      <c r="W25" s="795"/>
      <c r="X25" s="818"/>
    </row>
    <row r="26" spans="1:24" outlineLevel="1">
      <c r="A26" s="869" t="str">
        <f t="shared" si="5"/>
        <v>Services</v>
      </c>
      <c r="D26" s="849"/>
      <c r="E26" s="854"/>
      <c r="F26" s="855"/>
      <c r="G26" s="855"/>
      <c r="H26" s="837"/>
      <c r="I26" s="837"/>
      <c r="J26" s="870">
        <v>0</v>
      </c>
      <c r="K26" s="870">
        <v>0</v>
      </c>
      <c r="L26" s="870">
        <v>0</v>
      </c>
      <c r="M26" s="870">
        <v>0</v>
      </c>
      <c r="N26" s="870">
        <v>0</v>
      </c>
      <c r="O26" s="870">
        <v>0</v>
      </c>
      <c r="P26" s="870">
        <v>0</v>
      </c>
      <c r="Q26" s="870">
        <v>0</v>
      </c>
      <c r="R26" s="870">
        <v>0</v>
      </c>
      <c r="S26" s="870">
        <v>0</v>
      </c>
      <c r="T26" s="870">
        <v>0</v>
      </c>
      <c r="U26" s="870">
        <v>0</v>
      </c>
      <c r="V26" s="870">
        <f t="shared" si="7"/>
        <v>0</v>
      </c>
      <c r="W26" s="795"/>
      <c r="X26" s="818"/>
    </row>
    <row r="27" spans="1:24" outlineLevel="1">
      <c r="A27" s="869" t="str">
        <f t="shared" si="5"/>
        <v>Processing</v>
      </c>
      <c r="D27" s="849"/>
      <c r="E27" s="854"/>
      <c r="F27" s="855"/>
      <c r="G27" s="855"/>
      <c r="H27" s="837"/>
      <c r="I27" s="837"/>
      <c r="J27" s="870">
        <f>I41</f>
        <v>0</v>
      </c>
      <c r="K27" s="870">
        <f>J41</f>
        <v>0</v>
      </c>
      <c r="L27" s="870">
        <f t="shared" ref="L27:U27" si="8">K41</f>
        <v>0</v>
      </c>
      <c r="M27" s="870">
        <f t="shared" si="8"/>
        <v>114240</v>
      </c>
      <c r="N27" s="870">
        <f t="shared" si="8"/>
        <v>59833.600000000006</v>
      </c>
      <c r="O27" s="870">
        <f t="shared" si="8"/>
        <v>194865.76</v>
      </c>
      <c r="P27" s="870">
        <f t="shared" si="8"/>
        <v>193584.17600000001</v>
      </c>
      <c r="Q27" s="870">
        <f t="shared" si="8"/>
        <v>81940.817600000009</v>
      </c>
      <c r="R27" s="870">
        <f t="shared" si="8"/>
        <v>56542.081760000001</v>
      </c>
      <c r="S27" s="870">
        <f t="shared" si="8"/>
        <v>5654.2081760000001</v>
      </c>
      <c r="T27" s="870">
        <f t="shared" si="8"/>
        <v>565.42081760000008</v>
      </c>
      <c r="U27" s="870">
        <f t="shared" si="8"/>
        <v>56.542081760000009</v>
      </c>
      <c r="V27" s="870">
        <f t="shared" si="7"/>
        <v>0</v>
      </c>
      <c r="W27" s="795"/>
      <c r="X27" s="818"/>
    </row>
    <row r="28" spans="1:24" outlineLevel="1">
      <c r="A28" s="869" t="str">
        <f t="shared" si="5"/>
        <v>Others</v>
      </c>
      <c r="D28" s="849"/>
      <c r="E28" s="854"/>
      <c r="F28" s="855"/>
      <c r="G28" s="855"/>
      <c r="H28" s="837"/>
      <c r="I28" s="837"/>
      <c r="J28" s="870">
        <v>0</v>
      </c>
      <c r="K28" s="870">
        <v>0</v>
      </c>
      <c r="L28" s="870">
        <v>0</v>
      </c>
      <c r="M28" s="870">
        <v>0</v>
      </c>
      <c r="N28" s="870">
        <v>0</v>
      </c>
      <c r="O28" s="870">
        <v>0</v>
      </c>
      <c r="P28" s="870">
        <v>0</v>
      </c>
      <c r="Q28" s="870">
        <v>0</v>
      </c>
      <c r="R28" s="870">
        <v>0</v>
      </c>
      <c r="S28" s="870">
        <v>0</v>
      </c>
      <c r="T28" s="870">
        <v>0</v>
      </c>
      <c r="U28" s="870">
        <v>0</v>
      </c>
      <c r="V28" s="870">
        <f t="shared" si="7"/>
        <v>0</v>
      </c>
      <c r="W28" s="795"/>
      <c r="X28" s="818"/>
    </row>
    <row r="29" spans="1:24" outlineLevel="1">
      <c r="A29" s="853"/>
      <c r="D29" s="849"/>
      <c r="E29" s="854"/>
      <c r="F29" s="855"/>
      <c r="G29" s="855"/>
      <c r="H29" s="837"/>
      <c r="I29" s="795"/>
      <c r="J29" s="870"/>
      <c r="K29" s="870"/>
      <c r="L29" s="870"/>
      <c r="M29" s="870"/>
      <c r="N29" s="870"/>
      <c r="O29" s="870"/>
      <c r="P29" s="870"/>
      <c r="Q29" s="870"/>
      <c r="R29" s="870"/>
      <c r="S29" s="870"/>
      <c r="T29" s="870"/>
      <c r="U29" s="870"/>
      <c r="V29" s="870"/>
      <c r="W29" s="795"/>
      <c r="X29" s="818"/>
    </row>
    <row r="30" spans="1:24" outlineLevel="1">
      <c r="A30" s="866" t="s">
        <v>27</v>
      </c>
      <c r="D30" s="849"/>
      <c r="E30" s="854"/>
      <c r="F30" s="855"/>
      <c r="G30" s="855"/>
      <c r="H30" s="837"/>
      <c r="I30" s="871"/>
      <c r="J30" s="868">
        <f>SUM(J31:J35)</f>
        <v>19100447.134999998</v>
      </c>
      <c r="K30" s="868">
        <f t="shared" ref="K30:V30" si="9">SUM(K31:K35)</f>
        <v>19100547.094999999</v>
      </c>
      <c r="L30" s="868">
        <f t="shared" si="9"/>
        <v>20522833.014999997</v>
      </c>
      <c r="M30" s="868">
        <f t="shared" si="9"/>
        <v>22124090.84</v>
      </c>
      <c r="N30" s="868">
        <f t="shared" si="9"/>
        <v>33189656.59</v>
      </c>
      <c r="O30" s="868">
        <f t="shared" si="9"/>
        <v>36182422.265000008</v>
      </c>
      <c r="P30" s="868">
        <f t="shared" si="9"/>
        <v>26631856.314999998</v>
      </c>
      <c r="Q30" s="868">
        <f t="shared" si="9"/>
        <v>27577154.215</v>
      </c>
      <c r="R30" s="868">
        <f t="shared" si="9"/>
        <v>9263817.7074999996</v>
      </c>
      <c r="S30" s="868">
        <f t="shared" si="9"/>
        <v>23017723.607500002</v>
      </c>
      <c r="T30" s="868">
        <f t="shared" si="9"/>
        <v>11216923.6075</v>
      </c>
      <c r="U30" s="868">
        <f t="shared" si="9"/>
        <v>13183723.6075</v>
      </c>
      <c r="V30" s="868">
        <f t="shared" si="9"/>
        <v>261111196</v>
      </c>
      <c r="W30" s="824"/>
      <c r="X30" s="818"/>
    </row>
    <row r="31" spans="1:24" outlineLevel="1">
      <c r="A31" s="869" t="str">
        <f>A7</f>
        <v>Inputs</v>
      </c>
      <c r="D31" s="849"/>
      <c r="E31" s="854"/>
      <c r="F31" s="855"/>
      <c r="G31" s="855"/>
      <c r="H31" s="837"/>
      <c r="I31" s="872"/>
      <c r="J31" s="808">
        <v>954144.73499999999</v>
      </c>
      <c r="K31" s="808">
        <v>954244.69500000007</v>
      </c>
      <c r="L31" s="808">
        <v>1034130.615</v>
      </c>
      <c r="M31" s="808">
        <v>1321212.44</v>
      </c>
      <c r="N31" s="808">
        <v>1188410.19</v>
      </c>
      <c r="O31" s="808">
        <v>1272223.865</v>
      </c>
      <c r="P31" s="808">
        <v>1065249.915</v>
      </c>
      <c r="Q31" s="808">
        <v>1068571.8149999999</v>
      </c>
      <c r="R31" s="808">
        <v>540666.50750000007</v>
      </c>
      <c r="S31" s="808">
        <v>944172.40749999997</v>
      </c>
      <c r="T31" s="808">
        <v>586572.40749999997</v>
      </c>
      <c r="U31" s="808">
        <v>646172.40749999997</v>
      </c>
      <c r="V31" s="870">
        <f t="shared" ref="V31:V35" si="10">SUM(J31:U31)</f>
        <v>11575772.000000002</v>
      </c>
      <c r="W31" s="824"/>
      <c r="X31" s="818"/>
    </row>
    <row r="32" spans="1:24" outlineLevel="1">
      <c r="A32" s="869" t="str">
        <f t="shared" ref="A32:A35" si="11">A8</f>
        <v>Output</v>
      </c>
      <c r="D32" s="849"/>
      <c r="E32" s="854"/>
      <c r="F32" s="855"/>
      <c r="G32" s="855"/>
      <c r="H32" s="837"/>
      <c r="I32" s="863"/>
      <c r="J32" s="808">
        <v>18146302.399999999</v>
      </c>
      <c r="K32" s="808">
        <v>18146302.399999999</v>
      </c>
      <c r="L32" s="808">
        <v>18146302.399999999</v>
      </c>
      <c r="M32" s="808">
        <v>20118782.399999999</v>
      </c>
      <c r="N32" s="808">
        <v>29912422.399999999</v>
      </c>
      <c r="O32" s="808">
        <v>32969222.400000006</v>
      </c>
      <c r="P32" s="808">
        <v>24740782.399999999</v>
      </c>
      <c r="Q32" s="808">
        <v>25825102.399999999</v>
      </c>
      <c r="R32" s="808">
        <v>8723151.1999999993</v>
      </c>
      <c r="S32" s="808">
        <v>22073551.200000003</v>
      </c>
      <c r="T32" s="808">
        <v>10630351.199999999</v>
      </c>
      <c r="U32" s="808">
        <v>12537551.199999999</v>
      </c>
      <c r="V32" s="870">
        <f t="shared" si="10"/>
        <v>241969824</v>
      </c>
      <c r="W32" s="824"/>
      <c r="X32" s="818"/>
    </row>
    <row r="33" spans="1:24" outlineLevel="1">
      <c r="A33" s="869" t="str">
        <f t="shared" si="11"/>
        <v>Services</v>
      </c>
      <c r="D33" s="849"/>
      <c r="E33" s="854"/>
      <c r="F33" s="855"/>
      <c r="G33" s="855"/>
      <c r="H33" s="837"/>
      <c r="I33" s="863"/>
      <c r="J33" s="809">
        <v>0</v>
      </c>
      <c r="K33" s="809">
        <v>0</v>
      </c>
      <c r="L33" s="809">
        <v>0</v>
      </c>
      <c r="M33" s="809">
        <v>0</v>
      </c>
      <c r="N33" s="809">
        <v>0</v>
      </c>
      <c r="O33" s="809">
        <v>0</v>
      </c>
      <c r="P33" s="809">
        <v>0</v>
      </c>
      <c r="Q33" s="809">
        <v>0</v>
      </c>
      <c r="R33" s="809">
        <v>0</v>
      </c>
      <c r="S33" s="809">
        <v>0</v>
      </c>
      <c r="T33" s="809">
        <v>0</v>
      </c>
      <c r="U33" s="809">
        <v>0</v>
      </c>
      <c r="V33" s="870">
        <f t="shared" si="10"/>
        <v>0</v>
      </c>
      <c r="W33" s="824"/>
      <c r="X33" s="818"/>
    </row>
    <row r="34" spans="1:24" outlineLevel="1">
      <c r="A34" s="869" t="str">
        <f t="shared" si="11"/>
        <v>Processing</v>
      </c>
      <c r="D34" s="849"/>
      <c r="E34" s="854"/>
      <c r="F34" s="855"/>
      <c r="G34" s="855"/>
      <c r="H34" s="837"/>
      <c r="I34" s="863"/>
      <c r="J34" s="808">
        <v>0</v>
      </c>
      <c r="K34" s="808">
        <v>0</v>
      </c>
      <c r="L34" s="808">
        <v>1342400</v>
      </c>
      <c r="M34" s="808">
        <v>684096</v>
      </c>
      <c r="N34" s="808">
        <v>2088824</v>
      </c>
      <c r="O34" s="808">
        <v>1940976</v>
      </c>
      <c r="P34" s="808">
        <v>825824</v>
      </c>
      <c r="Q34" s="808">
        <v>683480</v>
      </c>
      <c r="R34" s="808">
        <v>0</v>
      </c>
      <c r="S34" s="808">
        <v>0</v>
      </c>
      <c r="T34" s="808">
        <v>0</v>
      </c>
      <c r="U34" s="808">
        <v>0</v>
      </c>
      <c r="V34" s="870">
        <f t="shared" si="10"/>
        <v>7565600</v>
      </c>
      <c r="W34" s="824"/>
      <c r="X34" s="818"/>
    </row>
    <row r="35" spans="1:24" outlineLevel="1">
      <c r="A35" s="869" t="str">
        <f t="shared" si="11"/>
        <v>Others</v>
      </c>
      <c r="D35" s="849"/>
      <c r="E35" s="854"/>
      <c r="F35" s="855"/>
      <c r="G35" s="855"/>
      <c r="H35" s="837"/>
      <c r="I35" s="863"/>
      <c r="J35" s="809">
        <v>0</v>
      </c>
      <c r="K35" s="809">
        <v>0</v>
      </c>
      <c r="L35" s="809">
        <v>0</v>
      </c>
      <c r="M35" s="809">
        <v>0</v>
      </c>
      <c r="N35" s="809">
        <v>0</v>
      </c>
      <c r="O35" s="809">
        <v>0</v>
      </c>
      <c r="P35" s="809">
        <v>0</v>
      </c>
      <c r="Q35" s="809">
        <v>0</v>
      </c>
      <c r="R35" s="809">
        <v>0</v>
      </c>
      <c r="S35" s="809">
        <v>0</v>
      </c>
      <c r="T35" s="809">
        <v>0</v>
      </c>
      <c r="U35" s="809">
        <v>0</v>
      </c>
      <c r="V35" s="870">
        <f t="shared" si="10"/>
        <v>0</v>
      </c>
      <c r="W35" s="824"/>
      <c r="X35" s="818"/>
    </row>
    <row r="36" spans="1:24" outlineLevel="1">
      <c r="A36" s="853"/>
      <c r="D36" s="849"/>
      <c r="E36" s="854"/>
      <c r="F36" s="855"/>
      <c r="G36" s="855"/>
      <c r="H36" s="837"/>
      <c r="I36" s="863"/>
      <c r="J36" s="872"/>
      <c r="K36" s="872"/>
      <c r="L36" s="872"/>
      <c r="M36" s="872"/>
      <c r="N36" s="872"/>
      <c r="O36" s="872"/>
      <c r="P36" s="872"/>
      <c r="Q36" s="872"/>
      <c r="R36" s="872"/>
      <c r="S36" s="872"/>
      <c r="T36" s="872"/>
      <c r="U36" s="872"/>
      <c r="V36" s="870"/>
      <c r="W36" s="795"/>
      <c r="X36" s="818"/>
    </row>
    <row r="37" spans="1:24" outlineLevel="1">
      <c r="A37" s="866" t="s">
        <v>26</v>
      </c>
      <c r="D37" s="849"/>
      <c r="E37" s="854"/>
      <c r="F37" s="855"/>
      <c r="G37" s="855"/>
      <c r="H37" s="837"/>
      <c r="I37" s="873">
        <f>SUM(I38:I42)</f>
        <v>520536.17000000004</v>
      </c>
      <c r="J37" s="873">
        <f>SUM(J38:J42)</f>
        <v>2022098.3304999999</v>
      </c>
      <c r="K37" s="873">
        <f t="shared" ref="K37:V37" si="12">SUM(K38:K42)</f>
        <v>2172264.5425499999</v>
      </c>
      <c r="L37" s="873">
        <f t="shared" si="12"/>
        <v>2309509.7557549998</v>
      </c>
      <c r="M37" s="873">
        <f t="shared" si="12"/>
        <v>2483360.0595755004</v>
      </c>
      <c r="N37" s="873">
        <f t="shared" si="12"/>
        <v>3607301.6649575504</v>
      </c>
      <c r="O37" s="873">
        <f t="shared" si="12"/>
        <v>4018972.3929957557</v>
      </c>
      <c r="P37" s="873">
        <f t="shared" si="12"/>
        <v>3105082.8707995759</v>
      </c>
      <c r="Q37" s="873">
        <f t="shared" si="12"/>
        <v>3108223.7085799575</v>
      </c>
      <c r="R37" s="873">
        <f t="shared" si="12"/>
        <v>1297204.1416079958</v>
      </c>
      <c r="S37" s="873">
        <f t="shared" si="12"/>
        <v>2491492.7749107997</v>
      </c>
      <c r="T37" s="873">
        <f t="shared" si="12"/>
        <v>1430841.6382410801</v>
      </c>
      <c r="U37" s="873">
        <f t="shared" si="12"/>
        <v>1521456.5245741082</v>
      </c>
      <c r="V37" s="868">
        <f t="shared" si="12"/>
        <v>1521456.5245741082</v>
      </c>
      <c r="W37" s="795"/>
      <c r="X37" s="818"/>
    </row>
    <row r="38" spans="1:24" outlineLevel="1">
      <c r="A38" s="869" t="str">
        <f>A7</f>
        <v>Inputs</v>
      </c>
      <c r="D38" s="849"/>
      <c r="E38" s="854"/>
      <c r="F38" s="855"/>
      <c r="G38" s="855"/>
      <c r="H38" s="837"/>
      <c r="I38" s="477">
        <v>497571.33</v>
      </c>
      <c r="J38" s="808">
        <v>135171.60649999999</v>
      </c>
      <c r="K38" s="808">
        <v>98941.630150000012</v>
      </c>
      <c r="L38" s="808">
        <v>103307.22451500001</v>
      </c>
      <c r="M38" s="808">
        <v>132451.96645149999</v>
      </c>
      <c r="N38" s="808">
        <v>122086.21564515001</v>
      </c>
      <c r="O38" s="808">
        <v>129431.00806451502</v>
      </c>
      <c r="P38" s="808">
        <v>109468.09230645151</v>
      </c>
      <c r="Q38" s="808">
        <v>107803.99073064514</v>
      </c>
      <c r="R38" s="808">
        <v>54847.049823064524</v>
      </c>
      <c r="S38" s="808">
        <v>89901.945732306456</v>
      </c>
      <c r="T38" s="808">
        <v>57647.435323230646</v>
      </c>
      <c r="U38" s="808">
        <v>60381.984282323072</v>
      </c>
      <c r="V38" s="870">
        <f>U38</f>
        <v>60381.984282323072</v>
      </c>
      <c r="W38" s="795"/>
      <c r="X38" s="818"/>
    </row>
    <row r="39" spans="1:24" outlineLevel="1">
      <c r="A39" s="869" t="str">
        <f t="shared" ref="A39:A42" si="13">A8</f>
        <v>Output</v>
      </c>
      <c r="D39" s="849"/>
      <c r="E39" s="854"/>
      <c r="F39" s="855"/>
      <c r="G39" s="855"/>
      <c r="H39" s="837"/>
      <c r="I39" s="477">
        <v>22964.840000000004</v>
      </c>
      <c r="J39" s="808">
        <v>1886926.7239999999</v>
      </c>
      <c r="K39" s="808">
        <v>2073322.9123999998</v>
      </c>
      <c r="L39" s="808">
        <v>2091962.5312399999</v>
      </c>
      <c r="M39" s="808">
        <v>2291074.4931240003</v>
      </c>
      <c r="N39" s="808">
        <v>3290349.6893124003</v>
      </c>
      <c r="O39" s="808">
        <v>3695957.2089312407</v>
      </c>
      <c r="P39" s="808">
        <v>2913673.9608931243</v>
      </c>
      <c r="Q39" s="808">
        <v>2943877.6360893124</v>
      </c>
      <c r="R39" s="808">
        <v>1236702.8836089312</v>
      </c>
      <c r="S39" s="808">
        <v>2401025.4083608934</v>
      </c>
      <c r="T39" s="808">
        <v>1373137.6608360894</v>
      </c>
      <c r="U39" s="808">
        <v>1461068.886083609</v>
      </c>
      <c r="V39" s="870">
        <f t="shared" ref="V39:V42" si="14">U39</f>
        <v>1461068.886083609</v>
      </c>
      <c r="W39" s="795"/>
      <c r="X39" s="818"/>
    </row>
    <row r="40" spans="1:24" outlineLevel="1">
      <c r="A40" s="869" t="str">
        <f t="shared" si="13"/>
        <v>Services</v>
      </c>
      <c r="D40" s="849"/>
      <c r="E40" s="854"/>
      <c r="F40" s="855"/>
      <c r="G40" s="855"/>
      <c r="H40" s="862"/>
      <c r="I40" s="810"/>
      <c r="J40" s="809">
        <v>0</v>
      </c>
      <c r="K40" s="809">
        <v>0</v>
      </c>
      <c r="L40" s="809">
        <v>0</v>
      </c>
      <c r="M40" s="809">
        <v>0</v>
      </c>
      <c r="N40" s="809">
        <v>0</v>
      </c>
      <c r="O40" s="809">
        <v>0</v>
      </c>
      <c r="P40" s="809">
        <v>0</v>
      </c>
      <c r="Q40" s="809">
        <v>0</v>
      </c>
      <c r="R40" s="809">
        <v>0</v>
      </c>
      <c r="S40" s="809">
        <v>0</v>
      </c>
      <c r="T40" s="809">
        <v>0</v>
      </c>
      <c r="U40" s="809">
        <v>0</v>
      </c>
      <c r="V40" s="870">
        <f t="shared" si="14"/>
        <v>0</v>
      </c>
      <c r="W40" s="795"/>
      <c r="X40" s="818"/>
    </row>
    <row r="41" spans="1:24" outlineLevel="1">
      <c r="A41" s="869" t="str">
        <f t="shared" si="13"/>
        <v>Processing</v>
      </c>
      <c r="D41" s="849"/>
      <c r="E41" s="854"/>
      <c r="F41" s="855"/>
      <c r="G41" s="855"/>
      <c r="H41" s="862"/>
      <c r="I41" s="477">
        <v>0</v>
      </c>
      <c r="J41" s="808">
        <v>0</v>
      </c>
      <c r="K41" s="808">
        <v>0</v>
      </c>
      <c r="L41" s="808">
        <v>114240</v>
      </c>
      <c r="M41" s="808">
        <v>59833.600000000006</v>
      </c>
      <c r="N41" s="808">
        <v>194865.76</v>
      </c>
      <c r="O41" s="808">
        <v>193584.17600000001</v>
      </c>
      <c r="P41" s="808">
        <v>81940.817600000009</v>
      </c>
      <c r="Q41" s="808">
        <v>56542.081760000001</v>
      </c>
      <c r="R41" s="808">
        <v>5654.2081760000001</v>
      </c>
      <c r="S41" s="808">
        <v>565.42081760000008</v>
      </c>
      <c r="T41" s="808">
        <v>56.542081760000009</v>
      </c>
      <c r="U41" s="808">
        <v>5.6542081760000009</v>
      </c>
      <c r="V41" s="870">
        <f t="shared" si="14"/>
        <v>5.6542081760000009</v>
      </c>
      <c r="W41" s="795"/>
      <c r="X41" s="818"/>
    </row>
    <row r="42" spans="1:24" outlineLevel="1">
      <c r="A42" s="869" t="str">
        <f t="shared" si="13"/>
        <v>Others</v>
      </c>
      <c r="D42" s="849"/>
      <c r="E42" s="874"/>
      <c r="F42" s="855"/>
      <c r="G42" s="855"/>
      <c r="H42" s="862"/>
      <c r="I42" s="810"/>
      <c r="J42" s="809">
        <v>0</v>
      </c>
      <c r="K42" s="809">
        <v>0</v>
      </c>
      <c r="L42" s="809">
        <v>0</v>
      </c>
      <c r="M42" s="809">
        <v>0</v>
      </c>
      <c r="N42" s="809">
        <v>0</v>
      </c>
      <c r="O42" s="809">
        <v>0</v>
      </c>
      <c r="P42" s="809">
        <v>0</v>
      </c>
      <c r="Q42" s="809">
        <v>0</v>
      </c>
      <c r="R42" s="809">
        <v>0</v>
      </c>
      <c r="S42" s="809">
        <v>0</v>
      </c>
      <c r="T42" s="809">
        <v>0</v>
      </c>
      <c r="U42" s="809">
        <v>0</v>
      </c>
      <c r="V42" s="872">
        <f t="shared" si="14"/>
        <v>0</v>
      </c>
      <c r="W42" s="795"/>
      <c r="X42" s="818"/>
    </row>
    <row r="43" spans="1:24" outlineLevel="1">
      <c r="A43" s="869"/>
      <c r="C43" s="875"/>
      <c r="D43" s="876"/>
      <c r="E43" s="854"/>
      <c r="F43" s="855"/>
      <c r="G43" s="855"/>
      <c r="H43" s="877"/>
      <c r="I43" s="863"/>
      <c r="J43" s="795"/>
      <c r="K43" s="795"/>
      <c r="L43" s="795"/>
      <c r="M43" s="795"/>
      <c r="N43" s="795"/>
      <c r="O43" s="795"/>
      <c r="P43" s="795"/>
      <c r="Q43" s="795"/>
      <c r="R43" s="795"/>
      <c r="S43" s="795"/>
      <c r="T43" s="795"/>
      <c r="U43" s="795"/>
      <c r="V43" s="795"/>
      <c r="W43" s="795"/>
      <c r="X43" s="818"/>
    </row>
    <row r="44" spans="1:24">
      <c r="A44" s="866" t="s">
        <v>24</v>
      </c>
      <c r="D44" s="854"/>
      <c r="E44" s="832"/>
      <c r="F44" s="875"/>
      <c r="H44" s="862"/>
      <c r="I44" s="863"/>
      <c r="J44" s="838"/>
      <c r="K44" s="838"/>
      <c r="L44" s="838"/>
      <c r="M44" s="838"/>
      <c r="N44" s="838"/>
      <c r="O44" s="838"/>
      <c r="P44" s="838"/>
      <c r="Q44" s="838"/>
      <c r="R44" s="838"/>
      <c r="S44" s="838"/>
      <c r="T44" s="838"/>
      <c r="U44" s="838"/>
      <c r="V44" s="838"/>
      <c r="X44" s="818"/>
    </row>
    <row r="45" spans="1:24" ht="16.5" customHeight="1">
      <c r="A45" s="878" t="str">
        <f>A7</f>
        <v>Inputs</v>
      </c>
      <c r="C45" s="879">
        <v>2</v>
      </c>
      <c r="D45" s="880"/>
      <c r="E45" s="835"/>
      <c r="F45" s="836"/>
      <c r="I45" s="881"/>
      <c r="J45" s="882">
        <f>J24+J31-J38</f>
        <v>1316544.4584999999</v>
      </c>
      <c r="K45" s="882">
        <f t="shared" ref="K45:U46" si="15">K24+K31-K38</f>
        <v>990474.67135000008</v>
      </c>
      <c r="L45" s="882">
        <f t="shared" si="15"/>
        <v>1029765.0206350001</v>
      </c>
      <c r="M45" s="882">
        <f t="shared" si="15"/>
        <v>1292067.6980634998</v>
      </c>
      <c r="N45" s="882">
        <f t="shared" si="15"/>
        <v>1198775.94080635</v>
      </c>
      <c r="O45" s="882">
        <f t="shared" si="15"/>
        <v>1264879.0725806351</v>
      </c>
      <c r="P45" s="882">
        <f t="shared" si="15"/>
        <v>1085212.8307580636</v>
      </c>
      <c r="Q45" s="882">
        <f t="shared" si="15"/>
        <v>1070235.9165758062</v>
      </c>
      <c r="R45" s="882">
        <f t="shared" si="15"/>
        <v>593623.44840758073</v>
      </c>
      <c r="S45" s="882">
        <f t="shared" si="15"/>
        <v>909117.51159075799</v>
      </c>
      <c r="T45" s="882">
        <f t="shared" si="15"/>
        <v>618826.91790907574</v>
      </c>
      <c r="U45" s="882">
        <f t="shared" si="15"/>
        <v>643437.85854090762</v>
      </c>
      <c r="V45" s="873">
        <f>SUM(J45:U45)</f>
        <v>12012961.345717678</v>
      </c>
      <c r="W45" s="824">
        <f>V24+V31-V38-V45</f>
        <v>0</v>
      </c>
      <c r="X45" s="818"/>
    </row>
    <row r="46" spans="1:24" ht="16.5" customHeight="1">
      <c r="A46" s="878" t="str">
        <f t="shared" ref="A46:A49" si="16">A8</f>
        <v>Output</v>
      </c>
      <c r="C46" s="879">
        <v>2</v>
      </c>
      <c r="D46" s="880"/>
      <c r="E46" s="835"/>
      <c r="F46" s="836"/>
      <c r="I46" s="881"/>
      <c r="J46" s="882">
        <f>J25+J32-J39</f>
        <v>16282340.515999999</v>
      </c>
      <c r="K46" s="882">
        <f t="shared" si="15"/>
        <v>17959906.211599998</v>
      </c>
      <c r="L46" s="882">
        <f t="shared" si="15"/>
        <v>18127662.781159997</v>
      </c>
      <c r="M46" s="882">
        <f t="shared" si="15"/>
        <v>19919670.438115999</v>
      </c>
      <c r="N46" s="882">
        <f t="shared" si="15"/>
        <v>28913147.203811601</v>
      </c>
      <c r="O46" s="882">
        <f t="shared" si="15"/>
        <v>32563614.880381163</v>
      </c>
      <c r="P46" s="882">
        <f t="shared" si="15"/>
        <v>25523065.648038115</v>
      </c>
      <c r="Q46" s="882">
        <f t="shared" si="15"/>
        <v>25794898.724803809</v>
      </c>
      <c r="R46" s="882">
        <f t="shared" si="15"/>
        <v>10430325.952480379</v>
      </c>
      <c r="S46" s="882">
        <f t="shared" si="15"/>
        <v>20909228.675248038</v>
      </c>
      <c r="T46" s="882">
        <f t="shared" si="15"/>
        <v>11658238.947524803</v>
      </c>
      <c r="U46" s="882">
        <f t="shared" si="15"/>
        <v>12449619.97475248</v>
      </c>
      <c r="V46" s="873">
        <f t="shared" ref="V46:V49" si="17">SUM(J46:U46)</f>
        <v>240531719.95391637</v>
      </c>
      <c r="W46" s="824">
        <f t="shared" ref="W46:W49" si="18">V25+V32-V39-V46</f>
        <v>0</v>
      </c>
      <c r="X46" s="818"/>
    </row>
    <row r="47" spans="1:24" ht="16.5" customHeight="1">
      <c r="A47" s="878" t="str">
        <f t="shared" si="16"/>
        <v>Services</v>
      </c>
      <c r="C47" s="879">
        <v>2</v>
      </c>
      <c r="D47" s="880"/>
      <c r="E47" s="835"/>
      <c r="F47" s="836"/>
      <c r="I47" s="881"/>
      <c r="J47" s="882">
        <v>0</v>
      </c>
      <c r="K47" s="882">
        <v>325200</v>
      </c>
      <c r="L47" s="882">
        <v>650400</v>
      </c>
      <c r="M47" s="882">
        <v>0</v>
      </c>
      <c r="N47" s="882">
        <v>325200</v>
      </c>
      <c r="O47" s="882">
        <v>650400</v>
      </c>
      <c r="P47" s="882">
        <v>325200</v>
      </c>
      <c r="Q47" s="882">
        <v>650400</v>
      </c>
      <c r="R47" s="882">
        <v>0</v>
      </c>
      <c r="S47" s="882">
        <v>0</v>
      </c>
      <c r="T47" s="882">
        <v>162600</v>
      </c>
      <c r="U47" s="882">
        <v>162600</v>
      </c>
      <c r="V47" s="873">
        <f t="shared" si="17"/>
        <v>3252000</v>
      </c>
      <c r="W47" s="824"/>
      <c r="X47" s="818"/>
    </row>
    <row r="48" spans="1:24" ht="16.5" customHeight="1">
      <c r="A48" s="878" t="str">
        <f t="shared" si="16"/>
        <v>Processing</v>
      </c>
      <c r="C48" s="879">
        <v>2</v>
      </c>
      <c r="D48" s="880"/>
      <c r="E48" s="835"/>
      <c r="F48" s="836"/>
      <c r="I48" s="881"/>
      <c r="J48" s="882">
        <f>J27+J34-J41</f>
        <v>0</v>
      </c>
      <c r="K48" s="882">
        <f t="shared" ref="K48:U48" si="19">K27+K34-K41</f>
        <v>0</v>
      </c>
      <c r="L48" s="882">
        <f t="shared" si="19"/>
        <v>1228160</v>
      </c>
      <c r="M48" s="882">
        <f t="shared" si="19"/>
        <v>738502.4</v>
      </c>
      <c r="N48" s="882">
        <f t="shared" si="19"/>
        <v>1953791.84</v>
      </c>
      <c r="O48" s="882">
        <f t="shared" si="19"/>
        <v>1942257.5839999998</v>
      </c>
      <c r="P48" s="882">
        <f t="shared" si="19"/>
        <v>937467.35840000003</v>
      </c>
      <c r="Q48" s="882">
        <f t="shared" si="19"/>
        <v>708878.73583999998</v>
      </c>
      <c r="R48" s="882">
        <f t="shared" si="19"/>
        <v>50887.873584000001</v>
      </c>
      <c r="S48" s="882">
        <f t="shared" si="19"/>
        <v>5088.7873583999999</v>
      </c>
      <c r="T48" s="882">
        <f t="shared" si="19"/>
        <v>508.87873584000005</v>
      </c>
      <c r="U48" s="882">
        <f t="shared" si="19"/>
        <v>50.887873584000005</v>
      </c>
      <c r="V48" s="873">
        <f t="shared" si="17"/>
        <v>7565594.345791826</v>
      </c>
      <c r="W48" s="824">
        <f t="shared" si="18"/>
        <v>0</v>
      </c>
      <c r="X48" s="818"/>
    </row>
    <row r="49" spans="1:24" ht="16.5" customHeight="1">
      <c r="A49" s="878" t="str">
        <f t="shared" si="16"/>
        <v>Others</v>
      </c>
      <c r="C49" s="879">
        <v>2</v>
      </c>
      <c r="D49" s="880"/>
      <c r="E49" s="835"/>
      <c r="F49" s="836"/>
      <c r="I49" s="881"/>
      <c r="J49" s="882">
        <v>0</v>
      </c>
      <c r="K49" s="882">
        <v>0</v>
      </c>
      <c r="L49" s="882">
        <v>0</v>
      </c>
      <c r="M49" s="882">
        <v>0</v>
      </c>
      <c r="N49" s="882">
        <v>0</v>
      </c>
      <c r="O49" s="882">
        <v>0</v>
      </c>
      <c r="P49" s="882">
        <v>0</v>
      </c>
      <c r="Q49" s="882">
        <v>0</v>
      </c>
      <c r="R49" s="882">
        <v>0</v>
      </c>
      <c r="S49" s="882">
        <v>0</v>
      </c>
      <c r="T49" s="882">
        <v>0</v>
      </c>
      <c r="U49" s="882">
        <v>0</v>
      </c>
      <c r="V49" s="873">
        <f t="shared" si="17"/>
        <v>0</v>
      </c>
      <c r="W49" s="824">
        <f t="shared" si="18"/>
        <v>0</v>
      </c>
      <c r="X49" s="818"/>
    </row>
    <row r="50" spans="1:24">
      <c r="A50" s="883" t="s">
        <v>24</v>
      </c>
      <c r="B50" s="884"/>
      <c r="C50" s="884"/>
      <c r="D50" s="884"/>
      <c r="E50" s="884"/>
      <c r="F50" s="884"/>
      <c r="G50" s="884"/>
      <c r="H50" s="884"/>
      <c r="I50" s="885"/>
      <c r="J50" s="886">
        <f>SUM(J45:J49)</f>
        <v>17598884.9745</v>
      </c>
      <c r="K50" s="886">
        <f t="shared" ref="K50:V50" si="20">SUM(K45:K49)</f>
        <v>19275580.882949997</v>
      </c>
      <c r="L50" s="886">
        <f t="shared" si="20"/>
        <v>21035987.801794998</v>
      </c>
      <c r="M50" s="886">
        <f t="shared" si="20"/>
        <v>21950240.536179498</v>
      </c>
      <c r="N50" s="886">
        <f t="shared" si="20"/>
        <v>32390914.984617952</v>
      </c>
      <c r="O50" s="886">
        <f t="shared" si="20"/>
        <v>36421151.536961794</v>
      </c>
      <c r="P50" s="886">
        <f t="shared" si="20"/>
        <v>27870945.837196179</v>
      </c>
      <c r="Q50" s="886">
        <f t="shared" si="20"/>
        <v>28224413.377219617</v>
      </c>
      <c r="R50" s="886">
        <f t="shared" si="20"/>
        <v>11074837.274471961</v>
      </c>
      <c r="S50" s="886">
        <f t="shared" si="20"/>
        <v>21823434.974197194</v>
      </c>
      <c r="T50" s="886">
        <f t="shared" si="20"/>
        <v>12440174.74416972</v>
      </c>
      <c r="U50" s="886">
        <f t="shared" si="20"/>
        <v>13255708.721166972</v>
      </c>
      <c r="V50" s="886">
        <f t="shared" si="20"/>
        <v>263362275.64542586</v>
      </c>
      <c r="W50" s="824"/>
      <c r="X50" s="818"/>
    </row>
    <row r="51" spans="1:24" ht="10.5" customHeight="1">
      <c r="A51" s="887"/>
      <c r="I51" s="795"/>
      <c r="J51" s="888"/>
      <c r="K51" s="888"/>
      <c r="L51" s="888"/>
      <c r="M51" s="888"/>
      <c r="N51" s="888"/>
      <c r="O51" s="888"/>
      <c r="P51" s="888"/>
      <c r="Q51" s="888"/>
      <c r="R51" s="888"/>
      <c r="S51" s="888"/>
      <c r="T51" s="888"/>
      <c r="U51" s="888"/>
      <c r="V51" s="888"/>
      <c r="X51" s="818"/>
    </row>
    <row r="52" spans="1:24" ht="14.25" customHeight="1">
      <c r="A52" s="866" t="s">
        <v>29</v>
      </c>
      <c r="I52" s="795"/>
      <c r="J52" s="872"/>
      <c r="K52" s="872"/>
      <c r="L52" s="872"/>
      <c r="M52" s="872"/>
      <c r="N52" s="872"/>
      <c r="O52" s="872"/>
      <c r="P52" s="872"/>
      <c r="Q52" s="872"/>
      <c r="R52" s="872"/>
      <c r="S52" s="872"/>
      <c r="T52" s="872"/>
      <c r="U52" s="872"/>
      <c r="V52" s="872"/>
      <c r="X52" s="818"/>
    </row>
    <row r="53" spans="1:24" ht="14.25" customHeight="1">
      <c r="A53" s="889" t="s">
        <v>320</v>
      </c>
      <c r="I53" s="795"/>
      <c r="J53" s="808">
        <v>15900</v>
      </c>
      <c r="K53" s="808">
        <v>15900</v>
      </c>
      <c r="L53" s="808">
        <v>15900</v>
      </c>
      <c r="M53" s="808">
        <v>15900</v>
      </c>
      <c r="N53" s="808">
        <v>15900</v>
      </c>
      <c r="O53" s="808">
        <v>8900</v>
      </c>
      <c r="P53" s="808">
        <v>8900</v>
      </c>
      <c r="Q53" s="808">
        <v>8900</v>
      </c>
      <c r="R53" s="808">
        <v>8900</v>
      </c>
      <c r="S53" s="808">
        <v>8900</v>
      </c>
      <c r="T53" s="808">
        <v>8900</v>
      </c>
      <c r="U53" s="808">
        <v>8900</v>
      </c>
      <c r="V53" s="873">
        <f>SUM(J53:U53)</f>
        <v>141800</v>
      </c>
      <c r="W53" s="824">
        <f t="shared" ref="W53:W56" si="21">SUM(J53:V53)/2-V53</f>
        <v>0</v>
      </c>
      <c r="X53" s="818"/>
    </row>
    <row r="54" spans="1:24" ht="14.25" customHeight="1">
      <c r="A54" s="889" t="s">
        <v>438</v>
      </c>
      <c r="I54" s="795"/>
      <c r="J54" s="808">
        <v>665261.12</v>
      </c>
      <c r="K54" s="808">
        <v>665261.12</v>
      </c>
      <c r="L54" s="808">
        <v>665261.12</v>
      </c>
      <c r="M54" s="808">
        <v>704710.72</v>
      </c>
      <c r="N54" s="808">
        <v>1076731.52</v>
      </c>
      <c r="O54" s="808">
        <v>1113481.1200000001</v>
      </c>
      <c r="P54" s="808">
        <v>898325.12</v>
      </c>
      <c r="Q54" s="808">
        <v>895625.12</v>
      </c>
      <c r="R54" s="808">
        <v>382630.56</v>
      </c>
      <c r="S54" s="808">
        <v>649638.56000000006</v>
      </c>
      <c r="T54" s="808">
        <v>420774.56</v>
      </c>
      <c r="U54" s="808">
        <v>458918.56</v>
      </c>
      <c r="V54" s="873">
        <f>SUM(J54:U54)</f>
        <v>8596619.1999999993</v>
      </c>
      <c r="W54" s="824"/>
      <c r="X54" s="818"/>
    </row>
    <row r="55" spans="1:24" ht="14.25" customHeight="1">
      <c r="A55" s="889" t="s">
        <v>321</v>
      </c>
      <c r="I55" s="795"/>
      <c r="J55" s="808">
        <v>3500</v>
      </c>
      <c r="K55" s="808">
        <v>3500</v>
      </c>
      <c r="L55" s="808">
        <v>3500</v>
      </c>
      <c r="M55" s="808">
        <v>3500</v>
      </c>
      <c r="N55" s="808">
        <v>3500</v>
      </c>
      <c r="O55" s="808">
        <v>3500</v>
      </c>
      <c r="P55" s="808">
        <v>3500</v>
      </c>
      <c r="Q55" s="808">
        <v>3500</v>
      </c>
      <c r="R55" s="808">
        <v>3500</v>
      </c>
      <c r="S55" s="808">
        <v>3500</v>
      </c>
      <c r="T55" s="808">
        <v>3500</v>
      </c>
      <c r="U55" s="808">
        <v>3500</v>
      </c>
      <c r="V55" s="873">
        <f t="shared" ref="V55:V57" si="22">SUM(J55:U55)</f>
        <v>42000</v>
      </c>
      <c r="W55" s="824">
        <f t="shared" si="21"/>
        <v>0</v>
      </c>
      <c r="X55" s="818"/>
    </row>
    <row r="56" spans="1:24" ht="14.25" customHeight="1">
      <c r="A56" s="889" t="s">
        <v>322</v>
      </c>
      <c r="I56" s="795"/>
      <c r="J56" s="808">
        <v>4305</v>
      </c>
      <c r="K56" s="808">
        <v>4305</v>
      </c>
      <c r="L56" s="808">
        <v>4305</v>
      </c>
      <c r="M56" s="808">
        <v>4305</v>
      </c>
      <c r="N56" s="808">
        <v>4305</v>
      </c>
      <c r="O56" s="808">
        <v>4305</v>
      </c>
      <c r="P56" s="808">
        <v>4305</v>
      </c>
      <c r="Q56" s="808">
        <v>4305</v>
      </c>
      <c r="R56" s="808">
        <v>4305</v>
      </c>
      <c r="S56" s="811">
        <v>4305</v>
      </c>
      <c r="T56" s="808">
        <v>4305</v>
      </c>
      <c r="U56" s="808">
        <v>4305</v>
      </c>
      <c r="V56" s="873">
        <f t="shared" si="22"/>
        <v>51660</v>
      </c>
      <c r="W56" s="824">
        <f t="shared" si="21"/>
        <v>0</v>
      </c>
      <c r="X56" s="818"/>
    </row>
    <row r="57" spans="1:24" ht="14.25" customHeight="1" thickBot="1">
      <c r="A57" s="889" t="s">
        <v>410</v>
      </c>
      <c r="I57" s="795"/>
      <c r="J57" s="808">
        <v>70850</v>
      </c>
      <c r="K57" s="808">
        <v>52850</v>
      </c>
      <c r="L57" s="808">
        <v>449068.33333333331</v>
      </c>
      <c r="M57" s="808">
        <v>333080.73333333328</v>
      </c>
      <c r="N57" s="808">
        <v>517960.93333333329</v>
      </c>
      <c r="O57" s="808">
        <v>484853.73333333334</v>
      </c>
      <c r="P57" s="808">
        <v>348592.93333333335</v>
      </c>
      <c r="Q57" s="808">
        <v>328453.33333333337</v>
      </c>
      <c r="R57" s="808">
        <v>47850</v>
      </c>
      <c r="S57" s="808">
        <v>47850</v>
      </c>
      <c r="T57" s="808">
        <v>47850</v>
      </c>
      <c r="U57" s="808">
        <v>47850</v>
      </c>
      <c r="V57" s="873">
        <f t="shared" si="22"/>
        <v>2777110</v>
      </c>
      <c r="W57" s="824"/>
      <c r="X57" s="818"/>
    </row>
    <row r="58" spans="1:24" ht="14.25" customHeight="1">
      <c r="A58" s="841" t="s">
        <v>30</v>
      </c>
      <c r="B58" s="842"/>
      <c r="C58" s="842"/>
      <c r="D58" s="842"/>
      <c r="E58" s="842"/>
      <c r="F58" s="842"/>
      <c r="G58" s="842"/>
      <c r="H58" s="842"/>
      <c r="I58" s="890"/>
      <c r="J58" s="843">
        <f>SUM(J50,J53:J57)</f>
        <v>18358701.094500002</v>
      </c>
      <c r="K58" s="843">
        <f t="shared" ref="K58:U58" si="23">SUM(K50,K53:K57)</f>
        <v>20017397.002949998</v>
      </c>
      <c r="L58" s="843">
        <f t="shared" si="23"/>
        <v>22174022.255128331</v>
      </c>
      <c r="M58" s="843">
        <f t="shared" si="23"/>
        <v>23011736.989512831</v>
      </c>
      <c r="N58" s="843">
        <f t="shared" si="23"/>
        <v>34009312.437951282</v>
      </c>
      <c r="O58" s="843">
        <f t="shared" si="23"/>
        <v>38036191.390295126</v>
      </c>
      <c r="P58" s="843">
        <f t="shared" si="23"/>
        <v>29134568.890529513</v>
      </c>
      <c r="Q58" s="843">
        <f t="shared" si="23"/>
        <v>29465196.830552951</v>
      </c>
      <c r="R58" s="843">
        <f t="shared" si="23"/>
        <v>11522022.834471961</v>
      </c>
      <c r="S58" s="843">
        <f t="shared" si="23"/>
        <v>22537628.534197193</v>
      </c>
      <c r="T58" s="843">
        <f t="shared" si="23"/>
        <v>12925504.30416972</v>
      </c>
      <c r="U58" s="843">
        <f t="shared" si="23"/>
        <v>13779182.281166973</v>
      </c>
      <c r="V58" s="843">
        <f t="shared" ref="V58" si="24">SUM(V50,V53:V56)</f>
        <v>272194354.84542584</v>
      </c>
      <c r="W58" s="824"/>
      <c r="X58" s="818"/>
    </row>
    <row r="59" spans="1:24" ht="12" customHeight="1">
      <c r="A59" s="891"/>
      <c r="B59" s="892"/>
      <c r="C59" s="892"/>
      <c r="D59" s="892"/>
      <c r="E59" s="892"/>
      <c r="F59" s="892"/>
      <c r="G59" s="892"/>
      <c r="H59" s="892"/>
      <c r="I59" s="893"/>
      <c r="J59" s="871"/>
      <c r="K59" s="871"/>
      <c r="L59" s="871"/>
      <c r="M59" s="871"/>
      <c r="N59" s="871"/>
      <c r="O59" s="871"/>
      <c r="P59" s="871"/>
      <c r="Q59" s="871"/>
      <c r="R59" s="871"/>
      <c r="S59" s="871"/>
      <c r="T59" s="871"/>
      <c r="U59" s="871"/>
      <c r="V59" s="871"/>
      <c r="X59" s="818"/>
    </row>
    <row r="60" spans="1:24">
      <c r="A60" s="894" t="s">
        <v>31</v>
      </c>
      <c r="I60" s="867"/>
      <c r="J60" s="867">
        <f>J13-J58</f>
        <v>3723401.1598930396</v>
      </c>
      <c r="K60" s="867">
        <f t="shared" ref="K60:V60" si="25">K13-K58</f>
        <v>3980868.4432397597</v>
      </c>
      <c r="L60" s="867">
        <f t="shared" si="25"/>
        <v>2677627.733024992</v>
      </c>
      <c r="M60" s="867">
        <f t="shared" si="25"/>
        <v>1536971.5186807588</v>
      </c>
      <c r="N60" s="867">
        <f t="shared" si="25"/>
        <v>3078520.7233623937</v>
      </c>
      <c r="O60" s="867">
        <f t="shared" si="25"/>
        <v>4224591.8990697861</v>
      </c>
      <c r="P60" s="867">
        <f t="shared" si="25"/>
        <v>4169782.76533667</v>
      </c>
      <c r="Q60" s="867">
        <f t="shared" si="25"/>
        <v>4021781.0870120078</v>
      </c>
      <c r="R60" s="867">
        <f t="shared" si="25"/>
        <v>1858400.833739806</v>
      </c>
      <c r="S60" s="867">
        <f t="shared" si="25"/>
        <v>2048971.7609372735</v>
      </c>
      <c r="T60" s="867">
        <f t="shared" si="25"/>
        <v>802166.69074143469</v>
      </c>
      <c r="U60" s="867">
        <f t="shared" si="25"/>
        <v>2900788.4442078434</v>
      </c>
      <c r="V60" s="867">
        <f t="shared" si="25"/>
        <v>37800983.059245765</v>
      </c>
      <c r="W60" s="824"/>
      <c r="X60" s="818"/>
    </row>
    <row r="61" spans="1:24" s="900" customFormat="1" ht="13.5" thickBot="1">
      <c r="A61" s="895" t="s">
        <v>343</v>
      </c>
      <c r="B61" s="896"/>
      <c r="C61" s="896"/>
      <c r="D61" s="896"/>
      <c r="E61" s="896"/>
      <c r="F61" s="896"/>
      <c r="G61" s="896"/>
      <c r="H61" s="896"/>
      <c r="I61" s="897"/>
      <c r="J61" s="897">
        <f>J60/J13</f>
        <v>0.16861624482117873</v>
      </c>
      <c r="K61" s="897">
        <f t="shared" ref="K61:V61" si="26">K60/K13</f>
        <v>0.16588150723500761</v>
      </c>
      <c r="L61" s="897">
        <f t="shared" si="26"/>
        <v>0.1077444650275296</v>
      </c>
      <c r="M61" s="897">
        <f t="shared" si="26"/>
        <v>6.2609058157489864E-2</v>
      </c>
      <c r="N61" s="897">
        <f t="shared" si="26"/>
        <v>8.3006216889845136E-2</v>
      </c>
      <c r="O61" s="897">
        <f t="shared" si="26"/>
        <v>9.9964827205011153E-2</v>
      </c>
      <c r="P61" s="897">
        <f t="shared" si="26"/>
        <v>0.12520234017533291</v>
      </c>
      <c r="Q61" s="897">
        <f t="shared" si="26"/>
        <v>0.12009985185621838</v>
      </c>
      <c r="R61" s="897">
        <f t="shared" si="26"/>
        <v>0.1388895359236538</v>
      </c>
      <c r="S61" s="897">
        <f t="shared" si="26"/>
        <v>8.3336928910124758E-2</v>
      </c>
      <c r="T61" s="897">
        <f t="shared" si="26"/>
        <v>5.843428874707135E-2</v>
      </c>
      <c r="U61" s="897">
        <f t="shared" si="26"/>
        <v>0.17390848533054962</v>
      </c>
      <c r="V61" s="897">
        <f t="shared" si="26"/>
        <v>0.1219404888949335</v>
      </c>
      <c r="W61" s="898"/>
      <c r="X61" s="899"/>
    </row>
    <row r="62" spans="1:24" ht="9" customHeight="1">
      <c r="I62" s="795"/>
      <c r="J62" s="901"/>
      <c r="K62" s="795"/>
      <c r="L62" s="795"/>
      <c r="M62" s="795"/>
      <c r="N62" s="795"/>
      <c r="O62" s="795"/>
      <c r="P62" s="795"/>
      <c r="Q62" s="795"/>
      <c r="R62" s="795"/>
      <c r="S62" s="795"/>
      <c r="T62" s="795"/>
      <c r="U62" s="795"/>
      <c r="V62" s="795"/>
      <c r="X62" s="818"/>
    </row>
    <row r="63" spans="1:24">
      <c r="A63" s="821" t="s">
        <v>32</v>
      </c>
      <c r="I63" s="795"/>
      <c r="J63" s="795"/>
      <c r="K63" s="795"/>
      <c r="L63" s="795"/>
      <c r="M63" s="795"/>
      <c r="N63" s="795"/>
      <c r="O63" s="795"/>
      <c r="P63" s="795"/>
      <c r="Q63" s="795"/>
      <c r="R63" s="795"/>
      <c r="S63" s="795"/>
      <c r="T63" s="795"/>
      <c r="U63" s="795"/>
      <c r="V63" s="795"/>
      <c r="X63" s="818"/>
    </row>
    <row r="64" spans="1:24">
      <c r="A64" s="902" t="s">
        <v>290</v>
      </c>
      <c r="D64" s="821"/>
      <c r="E64" s="903"/>
      <c r="I64" s="904"/>
      <c r="J64" s="812">
        <v>315</v>
      </c>
      <c r="K64" s="812">
        <v>315</v>
      </c>
      <c r="L64" s="812">
        <v>315</v>
      </c>
      <c r="M64" s="812">
        <v>315</v>
      </c>
      <c r="N64" s="812">
        <v>315</v>
      </c>
      <c r="O64" s="812">
        <v>315</v>
      </c>
      <c r="P64" s="812">
        <v>315</v>
      </c>
      <c r="Q64" s="812">
        <v>315</v>
      </c>
      <c r="R64" s="812">
        <v>315</v>
      </c>
      <c r="S64" s="812">
        <v>315</v>
      </c>
      <c r="T64" s="812">
        <v>315</v>
      </c>
      <c r="U64" s="812">
        <v>315</v>
      </c>
      <c r="V64" s="905">
        <f>SUM(J64:U64)</f>
        <v>3780</v>
      </c>
      <c r="W64" s="824">
        <f t="shared" ref="W64:W89" si="27">SUM(J64:V64)/2-V64</f>
        <v>0</v>
      </c>
      <c r="X64" s="818"/>
    </row>
    <row r="65" spans="1:24">
      <c r="A65" s="902" t="s">
        <v>291</v>
      </c>
      <c r="I65" s="795"/>
      <c r="J65" s="812">
        <v>315</v>
      </c>
      <c r="K65" s="812">
        <v>315</v>
      </c>
      <c r="L65" s="812">
        <v>315</v>
      </c>
      <c r="M65" s="812">
        <v>315</v>
      </c>
      <c r="N65" s="812">
        <v>315</v>
      </c>
      <c r="O65" s="812">
        <v>315</v>
      </c>
      <c r="P65" s="812">
        <v>315</v>
      </c>
      <c r="Q65" s="812">
        <v>315</v>
      </c>
      <c r="R65" s="812">
        <v>315</v>
      </c>
      <c r="S65" s="812">
        <v>315</v>
      </c>
      <c r="T65" s="812">
        <v>315</v>
      </c>
      <c r="U65" s="812">
        <v>315</v>
      </c>
      <c r="V65" s="905">
        <f t="shared" ref="V65:V81" si="28">SUM(J65:U65)</f>
        <v>3780</v>
      </c>
      <c r="W65" s="824">
        <f t="shared" si="27"/>
        <v>0</v>
      </c>
      <c r="X65" s="818"/>
    </row>
    <row r="66" spans="1:24">
      <c r="A66" s="906" t="s">
        <v>292</v>
      </c>
      <c r="I66" s="795"/>
      <c r="J66" s="812">
        <v>315</v>
      </c>
      <c r="K66" s="812">
        <v>315</v>
      </c>
      <c r="L66" s="812">
        <v>315</v>
      </c>
      <c r="M66" s="812">
        <v>315</v>
      </c>
      <c r="N66" s="812">
        <v>315</v>
      </c>
      <c r="O66" s="812">
        <v>315</v>
      </c>
      <c r="P66" s="812">
        <v>315</v>
      </c>
      <c r="Q66" s="812">
        <v>315</v>
      </c>
      <c r="R66" s="812">
        <v>315</v>
      </c>
      <c r="S66" s="812">
        <v>315</v>
      </c>
      <c r="T66" s="812">
        <v>315</v>
      </c>
      <c r="U66" s="812">
        <v>315</v>
      </c>
      <c r="V66" s="905">
        <f t="shared" si="28"/>
        <v>3780</v>
      </c>
      <c r="W66" s="824">
        <f t="shared" si="27"/>
        <v>0</v>
      </c>
      <c r="X66" s="818"/>
    </row>
    <row r="67" spans="1:24">
      <c r="A67" s="906" t="s">
        <v>293</v>
      </c>
      <c r="I67" s="795"/>
      <c r="J67" s="812">
        <v>315</v>
      </c>
      <c r="K67" s="812">
        <v>315</v>
      </c>
      <c r="L67" s="812">
        <v>315</v>
      </c>
      <c r="M67" s="812">
        <v>315</v>
      </c>
      <c r="N67" s="812">
        <v>315</v>
      </c>
      <c r="O67" s="812">
        <v>315</v>
      </c>
      <c r="P67" s="812">
        <v>315</v>
      </c>
      <c r="Q67" s="812">
        <v>315</v>
      </c>
      <c r="R67" s="812">
        <v>315</v>
      </c>
      <c r="S67" s="812">
        <v>315</v>
      </c>
      <c r="T67" s="812">
        <v>315</v>
      </c>
      <c r="U67" s="812">
        <v>315</v>
      </c>
      <c r="V67" s="905">
        <f t="shared" si="28"/>
        <v>3780</v>
      </c>
      <c r="W67" s="824">
        <f t="shared" si="27"/>
        <v>0</v>
      </c>
      <c r="X67" s="818"/>
    </row>
    <row r="68" spans="1:24">
      <c r="A68" s="906" t="s">
        <v>294</v>
      </c>
      <c r="I68" s="795"/>
      <c r="J68" s="812">
        <v>315</v>
      </c>
      <c r="K68" s="812">
        <v>315</v>
      </c>
      <c r="L68" s="812">
        <v>315</v>
      </c>
      <c r="M68" s="812">
        <v>315</v>
      </c>
      <c r="N68" s="812">
        <v>315</v>
      </c>
      <c r="O68" s="812">
        <v>315</v>
      </c>
      <c r="P68" s="812">
        <v>315</v>
      </c>
      <c r="Q68" s="812">
        <v>315</v>
      </c>
      <c r="R68" s="812">
        <v>315</v>
      </c>
      <c r="S68" s="812">
        <v>315</v>
      </c>
      <c r="T68" s="812">
        <v>315</v>
      </c>
      <c r="U68" s="812">
        <v>315</v>
      </c>
      <c r="V68" s="905">
        <f t="shared" si="28"/>
        <v>3780</v>
      </c>
      <c r="W68" s="824"/>
      <c r="X68" s="818"/>
    </row>
    <row r="69" spans="1:24">
      <c r="A69" s="906" t="s">
        <v>295</v>
      </c>
      <c r="I69" s="795"/>
      <c r="J69" s="812">
        <v>315</v>
      </c>
      <c r="K69" s="812">
        <v>315</v>
      </c>
      <c r="L69" s="812">
        <v>315</v>
      </c>
      <c r="M69" s="812">
        <v>315</v>
      </c>
      <c r="N69" s="812">
        <v>315</v>
      </c>
      <c r="O69" s="812">
        <v>315</v>
      </c>
      <c r="P69" s="812">
        <v>315</v>
      </c>
      <c r="Q69" s="812">
        <v>315</v>
      </c>
      <c r="R69" s="812">
        <v>315</v>
      </c>
      <c r="S69" s="812">
        <v>315</v>
      </c>
      <c r="T69" s="812">
        <v>315</v>
      </c>
      <c r="U69" s="812">
        <v>315</v>
      </c>
      <c r="V69" s="905">
        <f t="shared" si="28"/>
        <v>3780</v>
      </c>
      <c r="W69" s="824"/>
      <c r="X69" s="818"/>
    </row>
    <row r="70" spans="1:24">
      <c r="A70" s="906" t="s">
        <v>327</v>
      </c>
      <c r="I70" s="795"/>
      <c r="J70" s="812">
        <v>315</v>
      </c>
      <c r="K70" s="812">
        <v>315</v>
      </c>
      <c r="L70" s="812">
        <v>315</v>
      </c>
      <c r="M70" s="812">
        <v>315</v>
      </c>
      <c r="N70" s="812">
        <v>315</v>
      </c>
      <c r="O70" s="812">
        <v>315</v>
      </c>
      <c r="P70" s="812">
        <v>315</v>
      </c>
      <c r="Q70" s="812">
        <v>315</v>
      </c>
      <c r="R70" s="812">
        <v>315</v>
      </c>
      <c r="S70" s="812">
        <v>315</v>
      </c>
      <c r="T70" s="812">
        <v>315</v>
      </c>
      <c r="U70" s="812">
        <v>315</v>
      </c>
      <c r="V70" s="905"/>
      <c r="W70" s="824"/>
      <c r="X70" s="818"/>
    </row>
    <row r="71" spans="1:24">
      <c r="A71" s="906" t="s">
        <v>296</v>
      </c>
      <c r="I71" s="795"/>
      <c r="J71" s="812">
        <v>315</v>
      </c>
      <c r="K71" s="812">
        <v>315</v>
      </c>
      <c r="L71" s="812">
        <v>315</v>
      </c>
      <c r="M71" s="812">
        <v>315</v>
      </c>
      <c r="N71" s="812">
        <v>315</v>
      </c>
      <c r="O71" s="812">
        <v>315</v>
      </c>
      <c r="P71" s="812">
        <v>315</v>
      </c>
      <c r="Q71" s="812">
        <v>315</v>
      </c>
      <c r="R71" s="812">
        <v>315</v>
      </c>
      <c r="S71" s="812">
        <v>315</v>
      </c>
      <c r="T71" s="812">
        <v>315</v>
      </c>
      <c r="U71" s="812">
        <v>315</v>
      </c>
      <c r="V71" s="905">
        <f t="shared" si="28"/>
        <v>3780</v>
      </c>
      <c r="W71" s="824"/>
      <c r="X71" s="818"/>
    </row>
    <row r="72" spans="1:24">
      <c r="A72" s="906" t="s">
        <v>297</v>
      </c>
      <c r="I72" s="795"/>
      <c r="J72" s="812">
        <v>315</v>
      </c>
      <c r="K72" s="812">
        <v>315</v>
      </c>
      <c r="L72" s="812">
        <v>315</v>
      </c>
      <c r="M72" s="812">
        <v>315</v>
      </c>
      <c r="N72" s="812">
        <v>315</v>
      </c>
      <c r="O72" s="812">
        <v>315</v>
      </c>
      <c r="P72" s="812">
        <v>315</v>
      </c>
      <c r="Q72" s="812">
        <v>315</v>
      </c>
      <c r="R72" s="812">
        <v>315</v>
      </c>
      <c r="S72" s="812">
        <v>315</v>
      </c>
      <c r="T72" s="812">
        <v>315</v>
      </c>
      <c r="U72" s="812">
        <v>315</v>
      </c>
      <c r="V72" s="905">
        <f t="shared" si="28"/>
        <v>3780</v>
      </c>
      <c r="W72" s="824"/>
      <c r="X72" s="818"/>
    </row>
    <row r="73" spans="1:24">
      <c r="A73" s="906" t="s">
        <v>328</v>
      </c>
      <c r="I73" s="795"/>
      <c r="J73" s="812">
        <v>315</v>
      </c>
      <c r="K73" s="812">
        <v>315</v>
      </c>
      <c r="L73" s="812">
        <v>315</v>
      </c>
      <c r="M73" s="812">
        <v>315</v>
      </c>
      <c r="N73" s="812">
        <v>315</v>
      </c>
      <c r="O73" s="812">
        <v>315</v>
      </c>
      <c r="P73" s="812">
        <v>315</v>
      </c>
      <c r="Q73" s="812">
        <v>315</v>
      </c>
      <c r="R73" s="812">
        <v>315</v>
      </c>
      <c r="S73" s="812">
        <v>315</v>
      </c>
      <c r="T73" s="812">
        <v>315</v>
      </c>
      <c r="U73" s="812">
        <v>315</v>
      </c>
      <c r="V73" s="905"/>
      <c r="W73" s="824"/>
      <c r="X73" s="818"/>
    </row>
    <row r="74" spans="1:24">
      <c r="A74" s="906" t="s">
        <v>251</v>
      </c>
      <c r="I74" s="795"/>
      <c r="J74" s="812">
        <v>315</v>
      </c>
      <c r="K74" s="812">
        <v>315</v>
      </c>
      <c r="L74" s="812">
        <v>315</v>
      </c>
      <c r="M74" s="812">
        <v>315</v>
      </c>
      <c r="N74" s="812">
        <v>315</v>
      </c>
      <c r="O74" s="812">
        <v>315</v>
      </c>
      <c r="P74" s="812">
        <v>315</v>
      </c>
      <c r="Q74" s="812">
        <v>315</v>
      </c>
      <c r="R74" s="812">
        <v>315</v>
      </c>
      <c r="S74" s="812">
        <v>315</v>
      </c>
      <c r="T74" s="812">
        <v>315</v>
      </c>
      <c r="U74" s="812">
        <v>315</v>
      </c>
      <c r="V74" s="905">
        <f t="shared" si="28"/>
        <v>3780</v>
      </c>
      <c r="W74" s="824"/>
      <c r="X74" s="818"/>
    </row>
    <row r="75" spans="1:24">
      <c r="A75" s="906" t="s">
        <v>298</v>
      </c>
      <c r="I75" s="795"/>
      <c r="J75" s="812">
        <v>315</v>
      </c>
      <c r="K75" s="812">
        <v>315</v>
      </c>
      <c r="L75" s="812">
        <v>315</v>
      </c>
      <c r="M75" s="812">
        <v>315</v>
      </c>
      <c r="N75" s="812">
        <v>315</v>
      </c>
      <c r="O75" s="812">
        <v>315</v>
      </c>
      <c r="P75" s="812">
        <v>315</v>
      </c>
      <c r="Q75" s="812">
        <v>315</v>
      </c>
      <c r="R75" s="812">
        <v>315</v>
      </c>
      <c r="S75" s="812">
        <v>315</v>
      </c>
      <c r="T75" s="812">
        <v>315</v>
      </c>
      <c r="U75" s="812">
        <v>315</v>
      </c>
      <c r="V75" s="905">
        <f t="shared" si="28"/>
        <v>3780</v>
      </c>
      <c r="W75" s="824"/>
      <c r="X75" s="818"/>
    </row>
    <row r="76" spans="1:24">
      <c r="A76" s="906" t="s">
        <v>299</v>
      </c>
      <c r="I76" s="795"/>
      <c r="J76" s="812">
        <v>315</v>
      </c>
      <c r="K76" s="812">
        <v>315</v>
      </c>
      <c r="L76" s="812">
        <v>315</v>
      </c>
      <c r="M76" s="812">
        <v>315</v>
      </c>
      <c r="N76" s="812">
        <v>315</v>
      </c>
      <c r="O76" s="812">
        <v>315</v>
      </c>
      <c r="P76" s="812">
        <v>315</v>
      </c>
      <c r="Q76" s="812">
        <v>315</v>
      </c>
      <c r="R76" s="812">
        <v>315</v>
      </c>
      <c r="S76" s="812">
        <v>315</v>
      </c>
      <c r="T76" s="812">
        <v>315</v>
      </c>
      <c r="U76" s="812">
        <v>315</v>
      </c>
      <c r="V76" s="905">
        <f t="shared" si="28"/>
        <v>3780</v>
      </c>
      <c r="W76" s="824"/>
      <c r="X76" s="818"/>
    </row>
    <row r="77" spans="1:24">
      <c r="A77" s="906" t="s">
        <v>300</v>
      </c>
      <c r="I77" s="795"/>
      <c r="J77" s="812">
        <v>315</v>
      </c>
      <c r="K77" s="812">
        <v>315</v>
      </c>
      <c r="L77" s="812">
        <v>315</v>
      </c>
      <c r="M77" s="812">
        <v>315</v>
      </c>
      <c r="N77" s="812">
        <v>315</v>
      </c>
      <c r="O77" s="812">
        <v>315</v>
      </c>
      <c r="P77" s="812">
        <v>315</v>
      </c>
      <c r="Q77" s="812">
        <v>315</v>
      </c>
      <c r="R77" s="812">
        <v>315</v>
      </c>
      <c r="S77" s="812">
        <v>315</v>
      </c>
      <c r="T77" s="812">
        <v>315</v>
      </c>
      <c r="U77" s="812">
        <v>315</v>
      </c>
      <c r="V77" s="905">
        <f t="shared" si="28"/>
        <v>3780</v>
      </c>
      <c r="W77" s="824"/>
      <c r="X77" s="818"/>
    </row>
    <row r="78" spans="1:24">
      <c r="A78" s="906" t="s">
        <v>301</v>
      </c>
      <c r="I78" s="795"/>
      <c r="J78" s="812">
        <v>315</v>
      </c>
      <c r="K78" s="812">
        <v>315</v>
      </c>
      <c r="L78" s="812">
        <v>315</v>
      </c>
      <c r="M78" s="812">
        <v>315</v>
      </c>
      <c r="N78" s="812">
        <v>315</v>
      </c>
      <c r="O78" s="812">
        <v>315</v>
      </c>
      <c r="P78" s="812">
        <v>315</v>
      </c>
      <c r="Q78" s="812">
        <v>315</v>
      </c>
      <c r="R78" s="812">
        <v>315</v>
      </c>
      <c r="S78" s="812">
        <v>315</v>
      </c>
      <c r="T78" s="812">
        <v>315</v>
      </c>
      <c r="U78" s="812">
        <v>315</v>
      </c>
      <c r="V78" s="905">
        <f t="shared" si="28"/>
        <v>3780</v>
      </c>
      <c r="W78" s="824"/>
      <c r="X78" s="818"/>
    </row>
    <row r="79" spans="1:24">
      <c r="A79" s="906" t="s">
        <v>303</v>
      </c>
      <c r="I79" s="795"/>
      <c r="J79" s="812">
        <v>315</v>
      </c>
      <c r="K79" s="812">
        <v>315</v>
      </c>
      <c r="L79" s="812">
        <v>315</v>
      </c>
      <c r="M79" s="812">
        <v>315</v>
      </c>
      <c r="N79" s="812">
        <v>315</v>
      </c>
      <c r="O79" s="812">
        <v>315</v>
      </c>
      <c r="P79" s="812">
        <v>315</v>
      </c>
      <c r="Q79" s="812">
        <v>315</v>
      </c>
      <c r="R79" s="812">
        <v>315</v>
      </c>
      <c r="S79" s="812">
        <v>315</v>
      </c>
      <c r="T79" s="812">
        <v>315</v>
      </c>
      <c r="U79" s="812">
        <v>315</v>
      </c>
      <c r="V79" s="905">
        <f t="shared" si="28"/>
        <v>3780</v>
      </c>
      <c r="W79" s="824"/>
      <c r="X79" s="818"/>
    </row>
    <row r="80" spans="1:24">
      <c r="A80" s="906" t="s">
        <v>302</v>
      </c>
      <c r="I80" s="795"/>
      <c r="J80" s="812">
        <v>315</v>
      </c>
      <c r="K80" s="812">
        <v>315</v>
      </c>
      <c r="L80" s="812">
        <v>315</v>
      </c>
      <c r="M80" s="812">
        <v>315</v>
      </c>
      <c r="N80" s="812">
        <v>315</v>
      </c>
      <c r="O80" s="812">
        <v>315</v>
      </c>
      <c r="P80" s="812">
        <v>315</v>
      </c>
      <c r="Q80" s="812">
        <v>315</v>
      </c>
      <c r="R80" s="812">
        <v>315</v>
      </c>
      <c r="S80" s="812">
        <v>315</v>
      </c>
      <c r="T80" s="812">
        <v>315</v>
      </c>
      <c r="U80" s="812">
        <v>315</v>
      </c>
      <c r="V80" s="905">
        <f t="shared" si="28"/>
        <v>3780</v>
      </c>
      <c r="W80" s="824"/>
      <c r="X80" s="818"/>
    </row>
    <row r="81" spans="1:25">
      <c r="A81" s="906" t="s">
        <v>289</v>
      </c>
      <c r="I81" s="795"/>
      <c r="J81" s="812">
        <v>34000</v>
      </c>
      <c r="K81" s="812">
        <v>34000</v>
      </c>
      <c r="L81" s="812">
        <v>34000</v>
      </c>
      <c r="M81" s="812">
        <v>34000</v>
      </c>
      <c r="N81" s="812">
        <v>34000</v>
      </c>
      <c r="O81" s="812">
        <v>34000</v>
      </c>
      <c r="P81" s="812">
        <v>34000</v>
      </c>
      <c r="Q81" s="812">
        <v>34000</v>
      </c>
      <c r="R81" s="812">
        <v>34000</v>
      </c>
      <c r="S81" s="812">
        <v>34000</v>
      </c>
      <c r="T81" s="812">
        <v>34000</v>
      </c>
      <c r="U81" s="812">
        <v>34000</v>
      </c>
      <c r="V81" s="905">
        <f t="shared" si="28"/>
        <v>408000</v>
      </c>
      <c r="W81" s="824"/>
      <c r="X81" s="818"/>
    </row>
    <row r="82" spans="1:25">
      <c r="A82" s="906"/>
      <c r="I82" s="795"/>
      <c r="J82" s="907"/>
      <c r="K82" s="907"/>
      <c r="L82" s="907"/>
      <c r="M82" s="907"/>
      <c r="N82" s="907"/>
      <c r="O82" s="907"/>
      <c r="P82" s="907"/>
      <c r="Q82" s="907"/>
      <c r="R82" s="907"/>
      <c r="S82" s="907"/>
      <c r="T82" s="907"/>
      <c r="U82" s="907"/>
      <c r="V82" s="905"/>
      <c r="W82" s="824"/>
      <c r="X82" s="818"/>
    </row>
    <row r="83" spans="1:25">
      <c r="A83" s="906"/>
      <c r="I83" s="795"/>
      <c r="J83" s="907"/>
      <c r="K83" s="907"/>
      <c r="L83" s="907"/>
      <c r="M83" s="907"/>
      <c r="N83" s="907"/>
      <c r="O83" s="907"/>
      <c r="P83" s="907"/>
      <c r="Q83" s="907"/>
      <c r="R83" s="907"/>
      <c r="S83" s="907"/>
      <c r="T83" s="907"/>
      <c r="U83" s="907"/>
      <c r="V83" s="905"/>
      <c r="W83" s="824"/>
      <c r="X83" s="818"/>
    </row>
    <row r="84" spans="1:25">
      <c r="A84" s="908" t="s">
        <v>33</v>
      </c>
      <c r="B84" s="909"/>
      <c r="C84" s="909"/>
      <c r="D84" s="909"/>
      <c r="E84" s="909"/>
      <c r="F84" s="909"/>
      <c r="G84" s="909"/>
      <c r="H84" s="909"/>
      <c r="I84" s="909"/>
      <c r="J84" s="813">
        <v>0</v>
      </c>
      <c r="K84" s="813">
        <v>0</v>
      </c>
      <c r="L84" s="813">
        <v>0</v>
      </c>
      <c r="M84" s="813">
        <v>0</v>
      </c>
      <c r="N84" s="813">
        <v>0</v>
      </c>
      <c r="O84" s="813">
        <v>0</v>
      </c>
      <c r="P84" s="813">
        <v>0</v>
      </c>
      <c r="Q84" s="813">
        <v>0</v>
      </c>
      <c r="R84" s="813">
        <v>0</v>
      </c>
      <c r="S84" s="813">
        <v>0</v>
      </c>
      <c r="T84" s="813">
        <v>0</v>
      </c>
      <c r="U84" s="813">
        <v>0</v>
      </c>
      <c r="V84" s="910">
        <f>SUM(J84:U84)</f>
        <v>0</v>
      </c>
      <c r="W84" s="824">
        <f t="shared" si="27"/>
        <v>0</v>
      </c>
      <c r="X84" s="818"/>
      <c r="Y84" s="911">
        <f>V84+V173</f>
        <v>0</v>
      </c>
    </row>
    <row r="85" spans="1:25">
      <c r="A85" s="912" t="s">
        <v>34</v>
      </c>
      <c r="B85" s="913"/>
      <c r="C85" s="913"/>
      <c r="D85" s="913"/>
      <c r="E85" s="914"/>
      <c r="F85" s="915"/>
      <c r="G85" s="915"/>
      <c r="H85" s="916"/>
      <c r="I85" s="871"/>
      <c r="J85" s="814">
        <v>150</v>
      </c>
      <c r="K85" s="814">
        <v>146.10046132824365</v>
      </c>
      <c r="L85" s="814">
        <v>142.18629938646825</v>
      </c>
      <c r="M85" s="814">
        <v>138.25745933741118</v>
      </c>
      <c r="N85" s="814">
        <v>134.31388613817012</v>
      </c>
      <c r="O85" s="814">
        <v>130.35552453943191</v>
      </c>
      <c r="P85" s="814">
        <v>126.38231908469845</v>
      </c>
      <c r="Q85" s="814">
        <v>122.39421410950973</v>
      </c>
      <c r="R85" s="814">
        <v>118.39115374066405</v>
      </c>
      <c r="S85" s="814">
        <v>114.37308189543522</v>
      </c>
      <c r="T85" s="814">
        <v>110.33994228078676</v>
      </c>
      <c r="U85" s="814">
        <v>106.29167839258336</v>
      </c>
      <c r="V85" s="917">
        <f>SUM(J85:U85)</f>
        <v>1539.3860202334029</v>
      </c>
      <c r="W85" s="824">
        <f t="shared" si="27"/>
        <v>0</v>
      </c>
      <c r="X85" s="818"/>
      <c r="Y85" s="911" t="e">
        <f>V85+#REF!</f>
        <v>#REF!</v>
      </c>
    </row>
    <row r="86" spans="1:25">
      <c r="A86" s="912" t="s">
        <v>35</v>
      </c>
      <c r="B86" s="913"/>
      <c r="C86" s="913"/>
      <c r="D86" s="913"/>
      <c r="E86" s="914"/>
      <c r="F86" s="915"/>
      <c r="G86" s="915"/>
      <c r="H86" s="916"/>
      <c r="I86" s="871"/>
      <c r="J86" s="814">
        <v>1347.2222222222224</v>
      </c>
      <c r="K86" s="814">
        <v>1347.2222222222224</v>
      </c>
      <c r="L86" s="814">
        <v>1365.2777777777778</v>
      </c>
      <c r="M86" s="814">
        <v>1379.1666666666667</v>
      </c>
      <c r="N86" s="814">
        <v>1386.1111111111111</v>
      </c>
      <c r="O86" s="814">
        <v>1377.7777777777778</v>
      </c>
      <c r="P86" s="814">
        <v>1377.7777777777778</v>
      </c>
      <c r="Q86" s="814">
        <v>1370.8333333333333</v>
      </c>
      <c r="R86" s="814">
        <v>1370.8333333333333</v>
      </c>
      <c r="S86" s="814">
        <v>1379.1666666666667</v>
      </c>
      <c r="T86" s="814">
        <v>1388.8888888888889</v>
      </c>
      <c r="U86" s="814">
        <v>1380.5555555555554</v>
      </c>
      <c r="V86" s="917">
        <f>SUM(J86:U86)</f>
        <v>16470.833333333336</v>
      </c>
      <c r="W86" s="824">
        <f t="shared" ref="W86" si="29">SUM(J86:V86)/2-V86</f>
        <v>0</v>
      </c>
      <c r="X86" s="818"/>
      <c r="Y86" s="911" t="e">
        <f>V86-#REF!</f>
        <v>#REF!</v>
      </c>
    </row>
    <row r="87" spans="1:25">
      <c r="A87" s="918" t="s">
        <v>99</v>
      </c>
      <c r="B87" s="919"/>
      <c r="C87" s="920"/>
      <c r="D87" s="920"/>
      <c r="E87" s="920"/>
      <c r="F87" s="920"/>
      <c r="G87" s="920"/>
      <c r="H87" s="920"/>
      <c r="I87" s="921"/>
      <c r="J87" s="815">
        <v>0</v>
      </c>
      <c r="K87" s="815">
        <v>0</v>
      </c>
      <c r="L87" s="815">
        <v>136.11111111111111</v>
      </c>
      <c r="M87" s="815">
        <v>0</v>
      </c>
      <c r="N87" s="815">
        <v>0</v>
      </c>
      <c r="O87" s="815">
        <v>108.33333333333331</v>
      </c>
      <c r="P87" s="815">
        <v>0</v>
      </c>
      <c r="Q87" s="815">
        <v>51.388888888888886</v>
      </c>
      <c r="R87" s="815">
        <v>0</v>
      </c>
      <c r="S87" s="815">
        <v>0</v>
      </c>
      <c r="T87" s="815">
        <v>0</v>
      </c>
      <c r="U87" s="815">
        <v>-41.666666666666686</v>
      </c>
      <c r="V87" s="922">
        <f>SUM(J87:U87)</f>
        <v>254.16666666666663</v>
      </c>
      <c r="W87" s="824">
        <f t="shared" si="27"/>
        <v>0</v>
      </c>
      <c r="X87" s="818"/>
      <c r="Y87" s="911" t="e">
        <f>V87+#REF!</f>
        <v>#REF!</v>
      </c>
    </row>
    <row r="88" spans="1:25" ht="13.5" thickBot="1">
      <c r="I88" s="795"/>
      <c r="J88" s="907"/>
      <c r="K88" s="907"/>
      <c r="L88" s="907"/>
      <c r="M88" s="907"/>
      <c r="N88" s="907"/>
      <c r="O88" s="907"/>
      <c r="P88" s="907"/>
      <c r="Q88" s="907"/>
      <c r="R88" s="907"/>
      <c r="S88" s="907"/>
      <c r="T88" s="907"/>
      <c r="U88" s="907"/>
      <c r="V88" s="907"/>
      <c r="X88" s="818"/>
    </row>
    <row r="89" spans="1:25">
      <c r="A89" s="841" t="s">
        <v>58</v>
      </c>
      <c r="B89" s="842"/>
      <c r="C89" s="842"/>
      <c r="D89" s="842"/>
      <c r="E89" s="842"/>
      <c r="F89" s="842"/>
      <c r="G89" s="842"/>
      <c r="H89" s="842"/>
      <c r="I89" s="890"/>
      <c r="J89" s="843">
        <f t="shared" ref="J89:V89" si="30">SUM(J64:J67,J84:J87)</f>
        <v>2757.2222222222226</v>
      </c>
      <c r="K89" s="843">
        <f t="shared" si="30"/>
        <v>2753.3226835504661</v>
      </c>
      <c r="L89" s="843">
        <f t="shared" si="30"/>
        <v>2903.5751882753575</v>
      </c>
      <c r="M89" s="843">
        <f t="shared" si="30"/>
        <v>2777.4241260040781</v>
      </c>
      <c r="N89" s="843">
        <f t="shared" si="30"/>
        <v>2780.4249972492812</v>
      </c>
      <c r="O89" s="843">
        <f t="shared" si="30"/>
        <v>2876.4666356505431</v>
      </c>
      <c r="P89" s="843">
        <f t="shared" si="30"/>
        <v>2764.1600968624762</v>
      </c>
      <c r="Q89" s="843">
        <f t="shared" si="30"/>
        <v>2804.6164363317316</v>
      </c>
      <c r="R89" s="843">
        <f t="shared" si="30"/>
        <v>2749.2244870739974</v>
      </c>
      <c r="S89" s="843">
        <f t="shared" si="30"/>
        <v>2753.539748562102</v>
      </c>
      <c r="T89" s="843">
        <f t="shared" si="30"/>
        <v>2759.2288311696757</v>
      </c>
      <c r="U89" s="843">
        <f t="shared" si="30"/>
        <v>2705.1805672814721</v>
      </c>
      <c r="V89" s="843">
        <f t="shared" si="30"/>
        <v>33384.386020233404</v>
      </c>
      <c r="W89" s="824">
        <f t="shared" si="27"/>
        <v>0</v>
      </c>
      <c r="X89" s="818"/>
    </row>
    <row r="90" spans="1:25" ht="4.9000000000000004" customHeight="1">
      <c r="I90" s="795"/>
      <c r="J90" s="795"/>
      <c r="K90" s="795"/>
      <c r="L90" s="795"/>
      <c r="M90" s="795"/>
      <c r="N90" s="795"/>
      <c r="O90" s="795"/>
      <c r="P90" s="795"/>
      <c r="Q90" s="795"/>
      <c r="R90" s="795"/>
      <c r="S90" s="795"/>
      <c r="T90" s="795"/>
      <c r="U90" s="795"/>
      <c r="V90" s="795"/>
      <c r="X90" s="818"/>
    </row>
    <row r="91" spans="1:25" ht="12" customHeight="1">
      <c r="A91" s="821" t="s">
        <v>59</v>
      </c>
      <c r="I91" s="795"/>
      <c r="J91" s="905">
        <f t="shared" ref="J91:V91" si="31">J60-J89</f>
        <v>3720643.9376708176</v>
      </c>
      <c r="K91" s="905">
        <f t="shared" si="31"/>
        <v>3978115.1205562092</v>
      </c>
      <c r="L91" s="905">
        <f t="shared" si="31"/>
        <v>2674724.1578367166</v>
      </c>
      <c r="M91" s="905">
        <f t="shared" si="31"/>
        <v>1534194.0945547547</v>
      </c>
      <c r="N91" s="905">
        <f t="shared" si="31"/>
        <v>3075740.2983651445</v>
      </c>
      <c r="O91" s="905">
        <f t="shared" si="31"/>
        <v>4221715.4324341351</v>
      </c>
      <c r="P91" s="905">
        <f t="shared" si="31"/>
        <v>4167018.6052398076</v>
      </c>
      <c r="Q91" s="905">
        <f t="shared" si="31"/>
        <v>4018976.4705756763</v>
      </c>
      <c r="R91" s="905">
        <f t="shared" si="31"/>
        <v>1855651.609252732</v>
      </c>
      <c r="S91" s="905">
        <f t="shared" si="31"/>
        <v>2046218.2211887115</v>
      </c>
      <c r="T91" s="905">
        <f t="shared" si="31"/>
        <v>799407.46191026503</v>
      </c>
      <c r="U91" s="905">
        <f t="shared" si="31"/>
        <v>2898083.2636405621</v>
      </c>
      <c r="V91" s="905">
        <f t="shared" si="31"/>
        <v>37767598.673225529</v>
      </c>
      <c r="W91" s="824"/>
      <c r="X91" s="818"/>
    </row>
    <row r="92" spans="1:25" ht="13.5" thickBot="1">
      <c r="A92" s="923" t="s">
        <v>344</v>
      </c>
      <c r="B92" s="924"/>
      <c r="C92" s="924"/>
      <c r="D92" s="924"/>
      <c r="E92" s="924"/>
      <c r="F92" s="924"/>
      <c r="G92" s="924"/>
      <c r="H92" s="924"/>
      <c r="I92" s="925"/>
      <c r="J92" s="926">
        <f t="shared" ref="J92:V92" si="32">J91/J13</f>
        <v>0.16849138251457141</v>
      </c>
      <c r="K92" s="926">
        <f t="shared" si="32"/>
        <v>0.16576677716463131</v>
      </c>
      <c r="L92" s="926">
        <f t="shared" si="32"/>
        <v>0.10762762871325431</v>
      </c>
      <c r="M92" s="926">
        <f t="shared" si="32"/>
        <v>6.2495918839994731E-2</v>
      </c>
      <c r="N92" s="926">
        <f t="shared" si="32"/>
        <v>8.2931248234082586E-2</v>
      </c>
      <c r="O92" s="926">
        <f t="shared" si="32"/>
        <v>9.9896762526324165E-2</v>
      </c>
      <c r="P92" s="926">
        <f t="shared" si="32"/>
        <v>0.12511934321068924</v>
      </c>
      <c r="Q92" s="926">
        <f t="shared" si="32"/>
        <v>0.12001609940643818</v>
      </c>
      <c r="R92" s="926">
        <f t="shared" si="32"/>
        <v>0.13868406974745154</v>
      </c>
      <c r="S92" s="926">
        <f t="shared" si="32"/>
        <v>8.3224935396767535E-2</v>
      </c>
      <c r="T92" s="926">
        <f t="shared" si="32"/>
        <v>5.8233291153802075E-2</v>
      </c>
      <c r="U92" s="926">
        <f t="shared" si="32"/>
        <v>0.17374630395674387</v>
      </c>
      <c r="V92" s="926">
        <f t="shared" si="32"/>
        <v>0.12183279570752659</v>
      </c>
      <c r="X92" s="818"/>
    </row>
    <row r="93" spans="1:25" ht="13.5" thickTop="1">
      <c r="I93" s="795"/>
      <c r="J93" s="795"/>
      <c r="K93" s="795"/>
      <c r="L93" s="795"/>
      <c r="M93" s="795"/>
      <c r="N93" s="795"/>
      <c r="O93" s="795"/>
      <c r="P93" s="795"/>
      <c r="Q93" s="795"/>
      <c r="R93" s="795"/>
      <c r="S93" s="795"/>
      <c r="T93" s="795"/>
      <c r="U93" s="795"/>
      <c r="V93" s="795"/>
      <c r="X93" s="818"/>
    </row>
    <row r="94" spans="1:25">
      <c r="A94" s="927" t="s">
        <v>62</v>
      </c>
      <c r="B94" s="928"/>
      <c r="C94" s="928"/>
      <c r="D94" s="928"/>
      <c r="E94" s="928"/>
      <c r="F94" s="928"/>
      <c r="G94" s="928"/>
      <c r="H94" s="928"/>
      <c r="I94" s="929"/>
      <c r="J94" s="930"/>
      <c r="K94" s="930"/>
      <c r="L94" s="930"/>
      <c r="M94" s="930"/>
      <c r="N94" s="930"/>
      <c r="O94" s="930"/>
      <c r="P94" s="930"/>
      <c r="Q94" s="930"/>
      <c r="R94" s="930"/>
      <c r="S94" s="930"/>
      <c r="T94" s="930"/>
      <c r="U94" s="930"/>
      <c r="V94" s="931"/>
      <c r="X94" s="818"/>
    </row>
    <row r="95" spans="1:25">
      <c r="A95" s="821" t="s">
        <v>64</v>
      </c>
      <c r="F95" s="932"/>
      <c r="G95" s="932"/>
      <c r="I95" s="795"/>
      <c r="J95" s="838">
        <f>SUM(J102:J106)</f>
        <v>19873892.028953735</v>
      </c>
      <c r="K95" s="838">
        <f t="shared" ref="K95:V95" si="33">SUM(K102:K106)</f>
        <v>21598438.901570786</v>
      </c>
      <c r="L95" s="838">
        <f t="shared" si="33"/>
        <v>22366484.989337992</v>
      </c>
      <c r="M95" s="838">
        <f t="shared" si="33"/>
        <v>22093837.657374229</v>
      </c>
      <c r="N95" s="838">
        <f t="shared" si="33"/>
        <v>33379049.845182307</v>
      </c>
      <c r="O95" s="838">
        <f t="shared" si="33"/>
        <v>38034704.960428417</v>
      </c>
      <c r="P95" s="838">
        <f t="shared" si="33"/>
        <v>29973916.490279566</v>
      </c>
      <c r="Q95" s="838">
        <f t="shared" si="33"/>
        <v>30138280.125808463</v>
      </c>
      <c r="R95" s="838">
        <f t="shared" si="33"/>
        <v>12042381.301390592</v>
      </c>
      <c r="S95" s="838">
        <f t="shared" si="33"/>
        <v>22127940.265621021</v>
      </c>
      <c r="T95" s="838">
        <f t="shared" si="33"/>
        <v>12354903.895420039</v>
      </c>
      <c r="U95" s="838">
        <f t="shared" si="33"/>
        <v>15011973.652837336</v>
      </c>
      <c r="V95" s="838">
        <f t="shared" si="33"/>
        <v>278995804.11420447</v>
      </c>
      <c r="W95" s="824">
        <f t="shared" ref="W95" si="34">SUM(J95:V95)/2-V95</f>
        <v>0</v>
      </c>
      <c r="X95" s="818"/>
    </row>
    <row r="96" spans="1:25" outlineLevel="1">
      <c r="A96" s="821"/>
      <c r="E96" s="875"/>
      <c r="F96" s="932"/>
      <c r="G96" s="932"/>
      <c r="H96" s="1197" t="s">
        <v>18</v>
      </c>
      <c r="I96" s="850" t="str">
        <f>A102</f>
        <v>Inputs</v>
      </c>
      <c r="J96" s="474">
        <v>0.9</v>
      </c>
      <c r="K96" s="474">
        <v>0.9</v>
      </c>
      <c r="L96" s="474">
        <v>0.9</v>
      </c>
      <c r="M96" s="474">
        <v>0.9</v>
      </c>
      <c r="N96" s="474">
        <v>0.9</v>
      </c>
      <c r="O96" s="474">
        <v>0.9</v>
      </c>
      <c r="P96" s="474">
        <v>0.9</v>
      </c>
      <c r="Q96" s="474">
        <v>0.9</v>
      </c>
      <c r="R96" s="474">
        <v>0.9</v>
      </c>
      <c r="S96" s="474">
        <v>0.9</v>
      </c>
      <c r="T96" s="474">
        <v>0.9</v>
      </c>
      <c r="U96" s="474">
        <v>0.9</v>
      </c>
      <c r="V96" s="933"/>
      <c r="W96" s="824"/>
      <c r="X96" s="818"/>
    </row>
    <row r="97" spans="1:24" outlineLevel="1">
      <c r="A97" s="821"/>
      <c r="E97" s="875"/>
      <c r="F97" s="932"/>
      <c r="G97" s="932"/>
      <c r="H97" s="1197"/>
      <c r="I97" s="856" t="str">
        <f>A103</f>
        <v>Output</v>
      </c>
      <c r="J97" s="475">
        <v>0.9</v>
      </c>
      <c r="K97" s="475">
        <v>0.9</v>
      </c>
      <c r="L97" s="475">
        <v>0.9</v>
      </c>
      <c r="M97" s="475">
        <v>0.9</v>
      </c>
      <c r="N97" s="475">
        <v>0.9</v>
      </c>
      <c r="O97" s="475">
        <v>0.9</v>
      </c>
      <c r="P97" s="475">
        <v>0.9</v>
      </c>
      <c r="Q97" s="475">
        <v>0.9</v>
      </c>
      <c r="R97" s="475">
        <v>0.9</v>
      </c>
      <c r="S97" s="475">
        <v>0.9</v>
      </c>
      <c r="T97" s="475">
        <v>0.9</v>
      </c>
      <c r="U97" s="475">
        <v>0.9</v>
      </c>
      <c r="V97" s="934"/>
      <c r="W97" s="824"/>
      <c r="X97" s="818"/>
    </row>
    <row r="98" spans="1:24" outlineLevel="1">
      <c r="A98" s="821"/>
      <c r="E98" s="875"/>
      <c r="F98" s="932"/>
      <c r="G98" s="932"/>
      <c r="H98" s="1197"/>
      <c r="I98" s="856" t="str">
        <f>A104</f>
        <v>Services</v>
      </c>
      <c r="J98" s="475">
        <v>0.9</v>
      </c>
      <c r="K98" s="475">
        <v>0.9</v>
      </c>
      <c r="L98" s="475">
        <v>0.9</v>
      </c>
      <c r="M98" s="475">
        <v>0.9</v>
      </c>
      <c r="N98" s="475">
        <v>0.9</v>
      </c>
      <c r="O98" s="475">
        <v>0.9</v>
      </c>
      <c r="P98" s="475">
        <v>0.9</v>
      </c>
      <c r="Q98" s="475">
        <v>0.9</v>
      </c>
      <c r="R98" s="475">
        <v>0.9</v>
      </c>
      <c r="S98" s="475">
        <v>0.9</v>
      </c>
      <c r="T98" s="475">
        <v>0.9</v>
      </c>
      <c r="U98" s="475">
        <v>0.9</v>
      </c>
      <c r="V98" s="934"/>
      <c r="W98" s="824"/>
      <c r="X98" s="818"/>
    </row>
    <row r="99" spans="1:24" outlineLevel="1">
      <c r="A99" s="821"/>
      <c r="E99" s="875"/>
      <c r="F99" s="932"/>
      <c r="G99" s="932"/>
      <c r="H99" s="1197"/>
      <c r="I99" s="856" t="str">
        <f>A105</f>
        <v>Processing</v>
      </c>
      <c r="J99" s="475">
        <v>0.9</v>
      </c>
      <c r="K99" s="475">
        <v>0.9</v>
      </c>
      <c r="L99" s="475">
        <v>0.9</v>
      </c>
      <c r="M99" s="475">
        <v>0.9</v>
      </c>
      <c r="N99" s="475">
        <v>0.9</v>
      </c>
      <c r="O99" s="475">
        <v>0.9</v>
      </c>
      <c r="P99" s="475">
        <v>0.9</v>
      </c>
      <c r="Q99" s="475">
        <v>0.9</v>
      </c>
      <c r="R99" s="475">
        <v>0.9</v>
      </c>
      <c r="S99" s="475">
        <v>0.9</v>
      </c>
      <c r="T99" s="475">
        <v>0.9</v>
      </c>
      <c r="U99" s="475">
        <v>0.9</v>
      </c>
      <c r="V99" s="934"/>
      <c r="W99" s="824"/>
      <c r="X99" s="818"/>
    </row>
    <row r="100" spans="1:24" outlineLevel="1">
      <c r="A100" s="821"/>
      <c r="E100" s="875"/>
      <c r="F100" s="932"/>
      <c r="G100" s="932"/>
      <c r="H100" s="1197"/>
      <c r="I100" s="859" t="str">
        <f>A106</f>
        <v>Others</v>
      </c>
      <c r="J100" s="476">
        <v>0.9</v>
      </c>
      <c r="K100" s="476">
        <v>0.9</v>
      </c>
      <c r="L100" s="476">
        <v>0.9</v>
      </c>
      <c r="M100" s="476">
        <v>0.9</v>
      </c>
      <c r="N100" s="476">
        <v>0.9</v>
      </c>
      <c r="O100" s="476">
        <v>0.9</v>
      </c>
      <c r="P100" s="476">
        <v>0.9</v>
      </c>
      <c r="Q100" s="476">
        <v>0.9</v>
      </c>
      <c r="R100" s="476">
        <v>0.9</v>
      </c>
      <c r="S100" s="476">
        <v>0.9</v>
      </c>
      <c r="T100" s="476">
        <v>0.9</v>
      </c>
      <c r="U100" s="476">
        <v>0.9</v>
      </c>
      <c r="V100" s="935"/>
      <c r="W100" s="824"/>
      <c r="X100" s="818"/>
    </row>
    <row r="101" spans="1:24">
      <c r="E101" s="875"/>
      <c r="F101" s="932"/>
      <c r="G101" s="932"/>
      <c r="I101" s="795"/>
      <c r="J101" s="838"/>
      <c r="K101" s="838"/>
      <c r="L101" s="838"/>
      <c r="M101" s="838"/>
      <c r="N101" s="838"/>
      <c r="O101" s="838"/>
      <c r="P101" s="838"/>
      <c r="Q101" s="838"/>
      <c r="R101" s="838"/>
      <c r="S101" s="838"/>
      <c r="T101" s="838"/>
      <c r="U101" s="838"/>
      <c r="V101" s="838"/>
      <c r="W101" s="824"/>
      <c r="X101" s="818"/>
    </row>
    <row r="102" spans="1:24" ht="16.5" customHeight="1">
      <c r="A102" s="906" t="str">
        <f>A7</f>
        <v>Inputs</v>
      </c>
      <c r="B102" s="906"/>
      <c r="C102" s="936"/>
      <c r="E102" s="914"/>
      <c r="F102" s="937"/>
      <c r="G102" s="938"/>
      <c r="I102" s="795"/>
      <c r="J102" s="907">
        <f>J96*J7</f>
        <v>1577917.525980816</v>
      </c>
      <c r="K102" s="907">
        <f t="shared" ref="K102:U102" si="35">K96*K7</f>
        <v>1227357.0624263941</v>
      </c>
      <c r="L102" s="907">
        <f t="shared" si="35"/>
        <v>1449598.458597912</v>
      </c>
      <c r="M102" s="907">
        <f t="shared" si="35"/>
        <v>1490262.690574215</v>
      </c>
      <c r="N102" s="907">
        <f t="shared" si="35"/>
        <v>1574764.3804497661</v>
      </c>
      <c r="O102" s="907">
        <f t="shared" si="35"/>
        <v>1642430.9949929731</v>
      </c>
      <c r="P102" s="907">
        <f t="shared" si="35"/>
        <v>1488971.183045076</v>
      </c>
      <c r="Q102" s="907">
        <f t="shared" si="35"/>
        <v>1473177.0502846171</v>
      </c>
      <c r="R102" s="907">
        <f t="shared" si="35"/>
        <v>898558.11917938536</v>
      </c>
      <c r="S102" s="907">
        <f t="shared" si="35"/>
        <v>943267.18450581911</v>
      </c>
      <c r="T102" s="907">
        <f t="shared" si="35"/>
        <v>817136.82147324504</v>
      </c>
      <c r="U102" s="907">
        <f t="shared" si="35"/>
        <v>843090.66343085759</v>
      </c>
      <c r="V102" s="905">
        <f>SUM(J102:U102)</f>
        <v>15426532.134941075</v>
      </c>
      <c r="W102" s="824">
        <f t="shared" ref="W102:W123" si="36">SUM(J102:V102)/2-V102</f>
        <v>0</v>
      </c>
      <c r="X102" s="818"/>
    </row>
    <row r="103" spans="1:24" ht="16.5" customHeight="1">
      <c r="A103" s="906" t="str">
        <f>A8</f>
        <v>Output</v>
      </c>
      <c r="B103" s="906"/>
      <c r="C103" s="939"/>
      <c r="E103" s="914"/>
      <c r="F103" s="937"/>
      <c r="G103" s="938"/>
      <c r="I103" s="795"/>
      <c r="J103" s="907">
        <f t="shared" ref="J103:U106" si="37">J97*J8</f>
        <v>18295974.502972919</v>
      </c>
      <c r="K103" s="907">
        <f t="shared" si="37"/>
        <v>20103304.83914439</v>
      </c>
      <c r="L103" s="907">
        <f t="shared" si="37"/>
        <v>19384037.872761492</v>
      </c>
      <c r="M103" s="907">
        <f t="shared" si="37"/>
        <v>20157535.204478346</v>
      </c>
      <c r="N103" s="907">
        <f t="shared" si="37"/>
        <v>29611991.094433721</v>
      </c>
      <c r="O103" s="907">
        <f t="shared" si="37"/>
        <v>33339977.525782201</v>
      </c>
      <c r="P103" s="907">
        <f t="shared" si="37"/>
        <v>26927356.929541234</v>
      </c>
      <c r="Q103" s="907">
        <f t="shared" si="37"/>
        <v>27213021.512860011</v>
      </c>
      <c r="R103" s="907">
        <f t="shared" si="37"/>
        <v>11066663.125944823</v>
      </c>
      <c r="S103" s="907">
        <f t="shared" si="37"/>
        <v>21178757.075488564</v>
      </c>
      <c r="T103" s="907">
        <f t="shared" si="37"/>
        <v>11457055.223384131</v>
      </c>
      <c r="U103" s="907">
        <f t="shared" si="37"/>
        <v>14088703.579350211</v>
      </c>
      <c r="V103" s="905">
        <f t="shared" ref="V103:V106" si="38">SUM(J103:U103)</f>
        <v>252824378.48614204</v>
      </c>
      <c r="W103" s="824">
        <f t="shared" si="36"/>
        <v>0</v>
      </c>
      <c r="X103" s="818"/>
    </row>
    <row r="104" spans="1:24" ht="16.5" customHeight="1">
      <c r="A104" s="906" t="str">
        <f>A9</f>
        <v>Services</v>
      </c>
      <c r="B104" s="906"/>
      <c r="C104" s="939"/>
      <c r="E104" s="914"/>
      <c r="F104" s="937"/>
      <c r="G104" s="938"/>
      <c r="I104" s="795"/>
      <c r="J104" s="907">
        <f t="shared" si="37"/>
        <v>0</v>
      </c>
      <c r="K104" s="907">
        <f t="shared" si="37"/>
        <v>267777</v>
      </c>
      <c r="L104" s="907">
        <f t="shared" si="37"/>
        <v>607554</v>
      </c>
      <c r="M104" s="907">
        <f t="shared" si="37"/>
        <v>0</v>
      </c>
      <c r="N104" s="907">
        <f t="shared" si="37"/>
        <v>423411.3</v>
      </c>
      <c r="O104" s="907">
        <f t="shared" si="37"/>
        <v>756822.6</v>
      </c>
      <c r="P104" s="907">
        <f t="shared" si="37"/>
        <v>430240.5</v>
      </c>
      <c r="Q104" s="907">
        <f t="shared" si="37"/>
        <v>590481</v>
      </c>
      <c r="R104" s="907">
        <f t="shared" si="37"/>
        <v>0</v>
      </c>
      <c r="S104" s="907">
        <f t="shared" si="37"/>
        <v>0</v>
      </c>
      <c r="T104" s="907">
        <f t="shared" si="37"/>
        <v>80120.25</v>
      </c>
      <c r="U104" s="907">
        <f t="shared" si="37"/>
        <v>80120.25</v>
      </c>
      <c r="V104" s="905">
        <f t="shared" si="38"/>
        <v>3236526.9</v>
      </c>
      <c r="W104" s="824">
        <f t="shared" si="36"/>
        <v>0</v>
      </c>
      <c r="X104" s="818"/>
    </row>
    <row r="105" spans="1:24" ht="16.5" customHeight="1">
      <c r="A105" s="906" t="str">
        <f>A10</f>
        <v>Processing</v>
      </c>
      <c r="B105" s="906"/>
      <c r="C105" s="939"/>
      <c r="E105" s="914"/>
      <c r="F105" s="937"/>
      <c r="G105" s="938"/>
      <c r="I105" s="795"/>
      <c r="J105" s="907">
        <f t="shared" si="37"/>
        <v>0</v>
      </c>
      <c r="K105" s="907">
        <f t="shared" si="37"/>
        <v>0</v>
      </c>
      <c r="L105" s="907">
        <f t="shared" si="37"/>
        <v>925294.65797858615</v>
      </c>
      <c r="M105" s="907">
        <f t="shared" si="37"/>
        <v>446039.76232166961</v>
      </c>
      <c r="N105" s="907">
        <f t="shared" si="37"/>
        <v>1768883.0702988207</v>
      </c>
      <c r="O105" s="907">
        <f t="shared" si="37"/>
        <v>2295473.8396532424</v>
      </c>
      <c r="P105" s="907">
        <f t="shared" si="37"/>
        <v>1127347.8776932573</v>
      </c>
      <c r="Q105" s="907">
        <f t="shared" si="37"/>
        <v>861600.56266383454</v>
      </c>
      <c r="R105" s="907">
        <f t="shared" si="37"/>
        <v>77160.056266383443</v>
      </c>
      <c r="S105" s="907">
        <f t="shared" si="37"/>
        <v>5916.0056266383444</v>
      </c>
      <c r="T105" s="907">
        <f t="shared" si="37"/>
        <v>591.60056266383469</v>
      </c>
      <c r="U105" s="907">
        <f t="shared" si="37"/>
        <v>59.160056266383464</v>
      </c>
      <c r="V105" s="905">
        <f t="shared" si="38"/>
        <v>7508366.5931213619</v>
      </c>
      <c r="W105" s="824">
        <f t="shared" si="36"/>
        <v>0</v>
      </c>
      <c r="X105" s="818"/>
    </row>
    <row r="106" spans="1:24" ht="16.5" customHeight="1">
      <c r="A106" s="906" t="str">
        <f>A11</f>
        <v>Others</v>
      </c>
      <c r="B106" s="906"/>
      <c r="C106" s="939"/>
      <c r="E106" s="914"/>
      <c r="F106" s="937"/>
      <c r="G106" s="938"/>
      <c r="I106" s="795"/>
      <c r="J106" s="907">
        <f t="shared" si="37"/>
        <v>0</v>
      </c>
      <c r="K106" s="907">
        <f t="shared" si="37"/>
        <v>0</v>
      </c>
      <c r="L106" s="907">
        <f t="shared" si="37"/>
        <v>0</v>
      </c>
      <c r="M106" s="907">
        <f t="shared" si="37"/>
        <v>0</v>
      </c>
      <c r="N106" s="907">
        <f t="shared" si="37"/>
        <v>0</v>
      </c>
      <c r="O106" s="907">
        <f t="shared" si="37"/>
        <v>0</v>
      </c>
      <c r="P106" s="907">
        <f t="shared" si="37"/>
        <v>0</v>
      </c>
      <c r="Q106" s="907">
        <f t="shared" si="37"/>
        <v>0</v>
      </c>
      <c r="R106" s="907">
        <f t="shared" si="37"/>
        <v>0</v>
      </c>
      <c r="S106" s="907">
        <f t="shared" si="37"/>
        <v>0</v>
      </c>
      <c r="T106" s="907">
        <f t="shared" si="37"/>
        <v>0</v>
      </c>
      <c r="U106" s="907">
        <f t="shared" si="37"/>
        <v>0</v>
      </c>
      <c r="V106" s="905">
        <f t="shared" si="38"/>
        <v>0</v>
      </c>
      <c r="W106" s="824">
        <f t="shared" si="36"/>
        <v>0</v>
      </c>
      <c r="X106" s="818"/>
    </row>
    <row r="107" spans="1:24" ht="6" customHeight="1">
      <c r="A107" s="891"/>
      <c r="B107" s="892"/>
      <c r="C107" s="892"/>
      <c r="D107" s="892"/>
      <c r="E107" s="857"/>
      <c r="F107" s="857"/>
      <c r="G107" s="892"/>
      <c r="H107" s="892"/>
      <c r="I107" s="893"/>
      <c r="J107" s="871"/>
      <c r="K107" s="871"/>
      <c r="L107" s="871"/>
      <c r="M107" s="871"/>
      <c r="N107" s="871"/>
      <c r="O107" s="871"/>
      <c r="P107" s="871"/>
      <c r="Q107" s="871"/>
      <c r="R107" s="871"/>
      <c r="S107" s="871"/>
      <c r="T107" s="871"/>
      <c r="U107" s="871"/>
      <c r="V107" s="871"/>
      <c r="X107" s="818"/>
    </row>
    <row r="108" spans="1:24">
      <c r="A108" s="821" t="s">
        <v>63</v>
      </c>
      <c r="E108" s="875" t="s">
        <v>66</v>
      </c>
      <c r="I108" s="795"/>
      <c r="J108" s="905">
        <f>SUM(J109:J113)</f>
        <v>2208210.2254393054</v>
      </c>
      <c r="K108" s="905">
        <f t="shared" ref="K108:V108" si="39">SUM(K109:K113)</f>
        <v>2399826.5446189744</v>
      </c>
      <c r="L108" s="905">
        <f t="shared" si="39"/>
        <v>2485164.9988153335</v>
      </c>
      <c r="M108" s="905">
        <f t="shared" si="39"/>
        <v>2454870.8508193591</v>
      </c>
      <c r="N108" s="905">
        <f t="shared" si="39"/>
        <v>3708783.3161313678</v>
      </c>
      <c r="O108" s="905">
        <f t="shared" si="39"/>
        <v>4226078.3289364902</v>
      </c>
      <c r="P108" s="905">
        <f t="shared" si="39"/>
        <v>3330435.1655866173</v>
      </c>
      <c r="Q108" s="905">
        <f t="shared" si="39"/>
        <v>3348697.7917564935</v>
      </c>
      <c r="R108" s="905">
        <f t="shared" si="39"/>
        <v>1338042.3668211759</v>
      </c>
      <c r="S108" s="905">
        <f t="shared" si="39"/>
        <v>2458660.0295134443</v>
      </c>
      <c r="T108" s="905">
        <f t="shared" si="39"/>
        <v>1372767.0994911154</v>
      </c>
      <c r="U108" s="905">
        <f t="shared" si="39"/>
        <v>1667997.0725374809</v>
      </c>
      <c r="V108" s="905">
        <f t="shared" si="39"/>
        <v>30999533.790467158</v>
      </c>
      <c r="W108" s="824">
        <f t="shared" si="36"/>
        <v>0</v>
      </c>
      <c r="X108" s="818"/>
    </row>
    <row r="109" spans="1:24">
      <c r="A109" s="906" t="str">
        <f>A102</f>
        <v>Inputs</v>
      </c>
      <c r="C109" s="940"/>
      <c r="E109" s="941">
        <v>30</v>
      </c>
      <c r="F109" s="942" t="s">
        <v>20</v>
      </c>
      <c r="I109" s="795"/>
      <c r="J109" s="907">
        <f t="shared" ref="J109:U113" si="40">J7-J102</f>
        <v>175324.169553424</v>
      </c>
      <c r="K109" s="907">
        <f t="shared" si="40"/>
        <v>136373.00693626585</v>
      </c>
      <c r="L109" s="907">
        <f t="shared" si="40"/>
        <v>161066.495399768</v>
      </c>
      <c r="M109" s="907">
        <f t="shared" si="40"/>
        <v>165584.74339713505</v>
      </c>
      <c r="N109" s="907">
        <f t="shared" si="40"/>
        <v>174973.8200499739</v>
      </c>
      <c r="O109" s="907">
        <f t="shared" si="40"/>
        <v>182492.33277699701</v>
      </c>
      <c r="P109" s="907">
        <f t="shared" si="40"/>
        <v>165441.24256056407</v>
      </c>
      <c r="Q109" s="907">
        <f t="shared" si="40"/>
        <v>163686.33892051294</v>
      </c>
      <c r="R109" s="907">
        <f t="shared" si="40"/>
        <v>99839.791019931668</v>
      </c>
      <c r="S109" s="907">
        <f t="shared" si="40"/>
        <v>104807.46494509093</v>
      </c>
      <c r="T109" s="907">
        <f t="shared" si="40"/>
        <v>90792.980163693894</v>
      </c>
      <c r="U109" s="907">
        <f t="shared" si="40"/>
        <v>93676.740381206386</v>
      </c>
      <c r="V109" s="905">
        <f>SUM(J109:U109)</f>
        <v>1714059.1261045637</v>
      </c>
      <c r="W109" s="824">
        <f t="shared" si="36"/>
        <v>0</v>
      </c>
      <c r="X109" s="818"/>
    </row>
    <row r="110" spans="1:24">
      <c r="A110" s="906" t="str">
        <f t="shared" ref="A110:A113" si="41">A103</f>
        <v>Output</v>
      </c>
      <c r="E110" s="941">
        <v>30</v>
      </c>
      <c r="F110" s="942" t="s">
        <v>20</v>
      </c>
      <c r="I110" s="795"/>
      <c r="J110" s="907">
        <f t="shared" si="40"/>
        <v>2032886.0558858812</v>
      </c>
      <c r="K110" s="907">
        <f t="shared" si="40"/>
        <v>2233700.5376827084</v>
      </c>
      <c r="L110" s="907">
        <f t="shared" si="40"/>
        <v>2153781.9858623892</v>
      </c>
      <c r="M110" s="907">
        <f t="shared" si="40"/>
        <v>2239726.1338309273</v>
      </c>
      <c r="N110" s="907">
        <f t="shared" si="40"/>
        <v>3290221.2327148579</v>
      </c>
      <c r="O110" s="907">
        <f t="shared" si="40"/>
        <v>3704441.9473091327</v>
      </c>
      <c r="P110" s="907">
        <f t="shared" si="40"/>
        <v>2991928.5477268025</v>
      </c>
      <c r="Q110" s="907">
        <f t="shared" si="40"/>
        <v>3023669.0569844432</v>
      </c>
      <c r="R110" s="907">
        <f t="shared" si="40"/>
        <v>1229629.2362160906</v>
      </c>
      <c r="S110" s="907">
        <f t="shared" si="40"/>
        <v>2353195.2306098379</v>
      </c>
      <c r="T110" s="907">
        <f t="shared" si="40"/>
        <v>1273006.1359315701</v>
      </c>
      <c r="U110" s="907">
        <f t="shared" si="40"/>
        <v>1565411.5088166893</v>
      </c>
      <c r="V110" s="905">
        <f t="shared" ref="V110:V113" si="42">SUM(J110:U110)</f>
        <v>28091597.60957133</v>
      </c>
      <c r="W110" s="824">
        <f t="shared" si="36"/>
        <v>0</v>
      </c>
      <c r="X110" s="818"/>
    </row>
    <row r="111" spans="1:24">
      <c r="A111" s="906" t="str">
        <f t="shared" si="41"/>
        <v>Services</v>
      </c>
      <c r="E111" s="941">
        <v>30</v>
      </c>
      <c r="F111" s="942" t="s">
        <v>20</v>
      </c>
      <c r="I111" s="795"/>
      <c r="J111" s="907">
        <f t="shared" si="40"/>
        <v>0</v>
      </c>
      <c r="K111" s="907">
        <f t="shared" si="40"/>
        <v>29753</v>
      </c>
      <c r="L111" s="907">
        <f t="shared" si="40"/>
        <v>67506</v>
      </c>
      <c r="M111" s="907">
        <f t="shared" si="40"/>
        <v>0</v>
      </c>
      <c r="N111" s="907">
        <f t="shared" si="40"/>
        <v>47045.700000000012</v>
      </c>
      <c r="O111" s="907">
        <f t="shared" si="40"/>
        <v>84091.400000000023</v>
      </c>
      <c r="P111" s="907">
        <f t="shared" si="40"/>
        <v>47804.5</v>
      </c>
      <c r="Q111" s="907">
        <f t="shared" si="40"/>
        <v>65609</v>
      </c>
      <c r="R111" s="907">
        <f t="shared" si="40"/>
        <v>0</v>
      </c>
      <c r="S111" s="907">
        <f t="shared" si="40"/>
        <v>0</v>
      </c>
      <c r="T111" s="907">
        <f t="shared" si="40"/>
        <v>8902.25</v>
      </c>
      <c r="U111" s="907">
        <f t="shared" si="40"/>
        <v>8902.25</v>
      </c>
      <c r="V111" s="905">
        <f t="shared" si="42"/>
        <v>359614.10000000003</v>
      </c>
      <c r="W111" s="824">
        <f t="shared" si="36"/>
        <v>0</v>
      </c>
      <c r="X111" s="818"/>
    </row>
    <row r="112" spans="1:24">
      <c r="A112" s="906" t="str">
        <f t="shared" si="41"/>
        <v>Processing</v>
      </c>
      <c r="E112" s="941">
        <v>30</v>
      </c>
      <c r="F112" s="942" t="s">
        <v>20</v>
      </c>
      <c r="I112" s="795"/>
      <c r="J112" s="907">
        <f t="shared" si="40"/>
        <v>0</v>
      </c>
      <c r="K112" s="907">
        <f t="shared" si="40"/>
        <v>0</v>
      </c>
      <c r="L112" s="907">
        <f t="shared" si="40"/>
        <v>102810.51755317627</v>
      </c>
      <c r="M112" s="907">
        <f t="shared" si="40"/>
        <v>49559.973591296584</v>
      </c>
      <c r="N112" s="907">
        <f t="shared" si="40"/>
        <v>196542.56336653559</v>
      </c>
      <c r="O112" s="907">
        <f t="shared" si="40"/>
        <v>255052.64885036042</v>
      </c>
      <c r="P112" s="907">
        <f t="shared" si="40"/>
        <v>125260.87529925071</v>
      </c>
      <c r="Q112" s="907">
        <f t="shared" si="40"/>
        <v>95733.39585153712</v>
      </c>
      <c r="R112" s="907">
        <f t="shared" si="40"/>
        <v>8573.3395851537207</v>
      </c>
      <c r="S112" s="907">
        <f t="shared" si="40"/>
        <v>657.33395851537171</v>
      </c>
      <c r="T112" s="907">
        <f t="shared" si="40"/>
        <v>65.733395851537125</v>
      </c>
      <c r="U112" s="907">
        <f t="shared" si="40"/>
        <v>6.5733395851537182</v>
      </c>
      <c r="V112" s="905">
        <f t="shared" si="42"/>
        <v>834262.9547912624</v>
      </c>
      <c r="W112" s="824">
        <f t="shared" si="36"/>
        <v>0</v>
      </c>
      <c r="X112" s="818"/>
    </row>
    <row r="113" spans="1:24">
      <c r="A113" s="906" t="str">
        <f t="shared" si="41"/>
        <v>Others</v>
      </c>
      <c r="E113" s="941">
        <v>30</v>
      </c>
      <c r="F113" s="942" t="s">
        <v>20</v>
      </c>
      <c r="I113" s="795"/>
      <c r="J113" s="907">
        <f t="shared" si="40"/>
        <v>0</v>
      </c>
      <c r="K113" s="907">
        <f t="shared" si="40"/>
        <v>0</v>
      </c>
      <c r="L113" s="907">
        <f t="shared" si="40"/>
        <v>0</v>
      </c>
      <c r="M113" s="907">
        <f t="shared" si="40"/>
        <v>0</v>
      </c>
      <c r="N113" s="907">
        <f t="shared" si="40"/>
        <v>0</v>
      </c>
      <c r="O113" s="907">
        <f t="shared" si="40"/>
        <v>0</v>
      </c>
      <c r="P113" s="907">
        <f t="shared" si="40"/>
        <v>0</v>
      </c>
      <c r="Q113" s="907">
        <f t="shared" si="40"/>
        <v>0</v>
      </c>
      <c r="R113" s="907">
        <f t="shared" si="40"/>
        <v>0</v>
      </c>
      <c r="S113" s="907">
        <f t="shared" si="40"/>
        <v>0</v>
      </c>
      <c r="T113" s="907">
        <f t="shared" si="40"/>
        <v>0</v>
      </c>
      <c r="U113" s="907">
        <f t="shared" si="40"/>
        <v>0</v>
      </c>
      <c r="V113" s="905">
        <f t="shared" si="42"/>
        <v>0</v>
      </c>
      <c r="W113" s="824">
        <f t="shared" si="36"/>
        <v>0</v>
      </c>
      <c r="X113" s="818"/>
    </row>
    <row r="114" spans="1:24" ht="6" customHeight="1">
      <c r="I114" s="795"/>
      <c r="J114" s="795"/>
      <c r="K114" s="795"/>
      <c r="L114" s="795"/>
      <c r="M114" s="795"/>
      <c r="N114" s="795"/>
      <c r="O114" s="795"/>
      <c r="P114" s="795"/>
      <c r="Q114" s="795"/>
      <c r="R114" s="795"/>
      <c r="S114" s="795"/>
      <c r="T114" s="795"/>
      <c r="U114" s="795"/>
      <c r="V114" s="795"/>
      <c r="X114" s="818"/>
    </row>
    <row r="115" spans="1:24">
      <c r="A115" s="821" t="s">
        <v>65</v>
      </c>
      <c r="I115" s="795"/>
      <c r="J115" s="838">
        <f ca="1">SUM(J116:J120)</f>
        <v>0</v>
      </c>
      <c r="K115" s="838">
        <f t="shared" ref="K115:V115" ca="1" si="43">SUM(K116:K120)</f>
        <v>2208210.2254393054</v>
      </c>
      <c r="L115" s="838">
        <f t="shared" ca="1" si="43"/>
        <v>2399826.5446189744</v>
      </c>
      <c r="M115" s="838">
        <f t="shared" ca="1" si="43"/>
        <v>2485164.9988153335</v>
      </c>
      <c r="N115" s="838">
        <f t="shared" ca="1" si="43"/>
        <v>2454870.8508193591</v>
      </c>
      <c r="O115" s="838">
        <f t="shared" ca="1" si="43"/>
        <v>3708783.3161313678</v>
      </c>
      <c r="P115" s="838">
        <f t="shared" ca="1" si="43"/>
        <v>4226078.3289364902</v>
      </c>
      <c r="Q115" s="838">
        <f t="shared" ca="1" si="43"/>
        <v>3330435.1655866173</v>
      </c>
      <c r="R115" s="838">
        <f t="shared" ca="1" si="43"/>
        <v>3348697.7917564935</v>
      </c>
      <c r="S115" s="838">
        <f t="shared" ca="1" si="43"/>
        <v>1338042.3668211759</v>
      </c>
      <c r="T115" s="838">
        <f t="shared" ca="1" si="43"/>
        <v>2458660.0295134443</v>
      </c>
      <c r="U115" s="838">
        <f t="shared" ca="1" si="43"/>
        <v>1372767.0994911154</v>
      </c>
      <c r="V115" s="838">
        <f t="shared" ca="1" si="43"/>
        <v>29331536.717929676</v>
      </c>
      <c r="W115" s="824">
        <f t="shared" ca="1" si="36"/>
        <v>0</v>
      </c>
      <c r="X115" s="818"/>
    </row>
    <row r="116" spans="1:24">
      <c r="A116" s="906" t="str">
        <f>A109</f>
        <v>Inputs</v>
      </c>
      <c r="I116" s="795"/>
      <c r="J116" s="907">
        <f ca="1">OFFSET(J109,0,VLOOKUP($E109,CreditDaysT[],2,FALSE))</f>
        <v>0</v>
      </c>
      <c r="K116" s="907">
        <f ca="1">OFFSET(K109,0,VLOOKUP($E109,CreditDaysT[],2,FALSE))</f>
        <v>175324.169553424</v>
      </c>
      <c r="L116" s="907">
        <f ca="1">OFFSET(L109,0,VLOOKUP($E109,CreditDaysT[],2,FALSE))</f>
        <v>136373.00693626585</v>
      </c>
      <c r="M116" s="907">
        <f ca="1">OFFSET(M109,0,VLOOKUP($E109,CreditDaysT[],2,FALSE))</f>
        <v>161066.495399768</v>
      </c>
      <c r="N116" s="907">
        <f ca="1">OFFSET(N109,0,VLOOKUP($E109,CreditDaysT[],2,FALSE))</f>
        <v>165584.74339713505</v>
      </c>
      <c r="O116" s="907">
        <f ca="1">OFFSET(O109,0,VLOOKUP($E109,CreditDaysT[],2,FALSE))</f>
        <v>174973.8200499739</v>
      </c>
      <c r="P116" s="907">
        <f ca="1">OFFSET(P109,0,VLOOKUP($E109,CreditDaysT[],2,FALSE))</f>
        <v>182492.33277699701</v>
      </c>
      <c r="Q116" s="907">
        <f ca="1">OFFSET(Q109,0,VLOOKUP($E109,CreditDaysT[],2,FALSE))</f>
        <v>165441.24256056407</v>
      </c>
      <c r="R116" s="907">
        <f ca="1">OFFSET(R109,0,VLOOKUP($E109,CreditDaysT[],2,FALSE))</f>
        <v>163686.33892051294</v>
      </c>
      <c r="S116" s="907">
        <f ca="1">OFFSET(S109,0,VLOOKUP($E109,CreditDaysT[],2,FALSE))</f>
        <v>99839.791019931668</v>
      </c>
      <c r="T116" s="907">
        <f ca="1">OFFSET(T109,0,VLOOKUP($E109,CreditDaysT[],2,FALSE))</f>
        <v>104807.46494509093</v>
      </c>
      <c r="U116" s="907">
        <f ca="1">OFFSET(U109,0,VLOOKUP($E109,CreditDaysT[],2,FALSE))</f>
        <v>90792.980163693894</v>
      </c>
      <c r="V116" s="905">
        <f ca="1">SUM(J116:U116)</f>
        <v>1620382.3857233573</v>
      </c>
      <c r="W116" s="824">
        <f t="shared" ca="1" si="36"/>
        <v>0</v>
      </c>
      <c r="X116" s="818"/>
    </row>
    <row r="117" spans="1:24">
      <c r="A117" s="906" t="str">
        <f t="shared" ref="A117:A120" si="44">A110</f>
        <v>Output</v>
      </c>
      <c r="I117" s="795"/>
      <c r="J117" s="907">
        <f ca="1">OFFSET(J110,0,VLOOKUP($E110,CreditDaysT[],2,FALSE))</f>
        <v>0</v>
      </c>
      <c r="K117" s="907">
        <f ca="1">OFFSET(K110,0,VLOOKUP($E110,CreditDaysT[],2,FALSE))</f>
        <v>2032886.0558858812</v>
      </c>
      <c r="L117" s="907">
        <f ca="1">OFFSET(L110,0,VLOOKUP($E110,CreditDaysT[],2,FALSE))</f>
        <v>2233700.5376827084</v>
      </c>
      <c r="M117" s="907">
        <f ca="1">OFFSET(M110,0,VLOOKUP($E110,CreditDaysT[],2,FALSE))</f>
        <v>2153781.9858623892</v>
      </c>
      <c r="N117" s="907">
        <f ca="1">OFFSET(N110,0,VLOOKUP($E110,CreditDaysT[],2,FALSE))</f>
        <v>2239726.1338309273</v>
      </c>
      <c r="O117" s="907">
        <f ca="1">OFFSET(O110,0,VLOOKUP($E110,CreditDaysT[],2,FALSE))</f>
        <v>3290221.2327148579</v>
      </c>
      <c r="P117" s="907">
        <f ca="1">OFFSET(P110,0,VLOOKUP($E110,CreditDaysT[],2,FALSE))</f>
        <v>3704441.9473091327</v>
      </c>
      <c r="Q117" s="907">
        <f ca="1">OFFSET(Q110,0,VLOOKUP($E110,CreditDaysT[],2,FALSE))</f>
        <v>2991928.5477268025</v>
      </c>
      <c r="R117" s="907">
        <f ca="1">OFFSET(R110,0,VLOOKUP($E110,CreditDaysT[],2,FALSE))</f>
        <v>3023669.0569844432</v>
      </c>
      <c r="S117" s="907">
        <f ca="1">OFFSET(S110,0,VLOOKUP($E110,CreditDaysT[],2,FALSE))</f>
        <v>1229629.2362160906</v>
      </c>
      <c r="T117" s="907">
        <f ca="1">OFFSET(T110,0,VLOOKUP($E110,CreditDaysT[],2,FALSE))</f>
        <v>2353195.2306098379</v>
      </c>
      <c r="U117" s="907">
        <f ca="1">OFFSET(U110,0,VLOOKUP($E110,CreditDaysT[],2,FALSE))</f>
        <v>1273006.1359315701</v>
      </c>
      <c r="V117" s="905">
        <f t="shared" ref="V117:V120" ca="1" si="45">SUM(J117:U117)</f>
        <v>26526186.100754641</v>
      </c>
      <c r="W117" s="824">
        <f t="shared" ca="1" si="36"/>
        <v>0</v>
      </c>
      <c r="X117" s="818"/>
    </row>
    <row r="118" spans="1:24">
      <c r="A118" s="906" t="str">
        <f t="shared" si="44"/>
        <v>Services</v>
      </c>
      <c r="I118" s="795"/>
      <c r="J118" s="907">
        <f ca="1">OFFSET(J111,0,VLOOKUP($E111,CreditDaysT[],2,FALSE))</f>
        <v>0</v>
      </c>
      <c r="K118" s="907">
        <f ca="1">OFFSET(K111,0,VLOOKUP($E111,CreditDaysT[],2,FALSE))</f>
        <v>0</v>
      </c>
      <c r="L118" s="907">
        <f ca="1">OFFSET(L111,0,VLOOKUP($E111,CreditDaysT[],2,FALSE))</f>
        <v>29753</v>
      </c>
      <c r="M118" s="907">
        <f ca="1">OFFSET(M111,0,VLOOKUP($E111,CreditDaysT[],2,FALSE))</f>
        <v>67506</v>
      </c>
      <c r="N118" s="907">
        <f ca="1">OFFSET(N111,0,VLOOKUP($E111,CreditDaysT[],2,FALSE))</f>
        <v>0</v>
      </c>
      <c r="O118" s="907">
        <f ca="1">OFFSET(O111,0,VLOOKUP($E111,CreditDaysT[],2,FALSE))</f>
        <v>47045.700000000012</v>
      </c>
      <c r="P118" s="907">
        <f ca="1">OFFSET(P111,0,VLOOKUP($E111,CreditDaysT[],2,FALSE))</f>
        <v>84091.400000000023</v>
      </c>
      <c r="Q118" s="907">
        <f ca="1">OFFSET(Q111,0,VLOOKUP($E111,CreditDaysT[],2,FALSE))</f>
        <v>47804.5</v>
      </c>
      <c r="R118" s="907">
        <f ca="1">OFFSET(R111,0,VLOOKUP($E111,CreditDaysT[],2,FALSE))</f>
        <v>65609</v>
      </c>
      <c r="S118" s="907">
        <f ca="1">OFFSET(S111,0,VLOOKUP($E111,CreditDaysT[],2,FALSE))</f>
        <v>0</v>
      </c>
      <c r="T118" s="907">
        <f ca="1">OFFSET(T111,0,VLOOKUP($E111,CreditDaysT[],2,FALSE))</f>
        <v>0</v>
      </c>
      <c r="U118" s="907">
        <f ca="1">OFFSET(U111,0,VLOOKUP($E111,CreditDaysT[],2,FALSE))</f>
        <v>8902.25</v>
      </c>
      <c r="V118" s="905">
        <f t="shared" ca="1" si="45"/>
        <v>350711.85000000003</v>
      </c>
      <c r="W118" s="824">
        <f t="shared" ca="1" si="36"/>
        <v>0</v>
      </c>
      <c r="X118" s="818"/>
    </row>
    <row r="119" spans="1:24">
      <c r="A119" s="906" t="str">
        <f t="shared" si="44"/>
        <v>Processing</v>
      </c>
      <c r="I119" s="795"/>
      <c r="J119" s="907">
        <f ca="1">OFFSET(J112,0,VLOOKUP($E112,CreditDaysT[],2,FALSE))</f>
        <v>0</v>
      </c>
      <c r="K119" s="907">
        <f ca="1">OFFSET(K112,0,VLOOKUP($E112,CreditDaysT[],2,FALSE))</f>
        <v>0</v>
      </c>
      <c r="L119" s="907">
        <f ca="1">OFFSET(L112,0,VLOOKUP($E112,CreditDaysT[],2,FALSE))</f>
        <v>0</v>
      </c>
      <c r="M119" s="907">
        <f ca="1">OFFSET(M112,0,VLOOKUP($E112,CreditDaysT[],2,FALSE))</f>
        <v>102810.51755317627</v>
      </c>
      <c r="N119" s="907">
        <f ca="1">OFFSET(N112,0,VLOOKUP($E112,CreditDaysT[],2,FALSE))</f>
        <v>49559.973591296584</v>
      </c>
      <c r="O119" s="907">
        <f ca="1">OFFSET(O112,0,VLOOKUP($E112,CreditDaysT[],2,FALSE))</f>
        <v>196542.56336653559</v>
      </c>
      <c r="P119" s="907">
        <f ca="1">OFFSET(P112,0,VLOOKUP($E112,CreditDaysT[],2,FALSE))</f>
        <v>255052.64885036042</v>
      </c>
      <c r="Q119" s="907">
        <f ca="1">OFFSET(Q112,0,VLOOKUP($E112,CreditDaysT[],2,FALSE))</f>
        <v>125260.87529925071</v>
      </c>
      <c r="R119" s="907">
        <f ca="1">OFFSET(R112,0,VLOOKUP($E112,CreditDaysT[],2,FALSE))</f>
        <v>95733.39585153712</v>
      </c>
      <c r="S119" s="907">
        <f ca="1">OFFSET(S112,0,VLOOKUP($E112,CreditDaysT[],2,FALSE))</f>
        <v>8573.3395851537207</v>
      </c>
      <c r="T119" s="907">
        <f ca="1">OFFSET(T112,0,VLOOKUP($E112,CreditDaysT[],2,FALSE))</f>
        <v>657.33395851537171</v>
      </c>
      <c r="U119" s="907">
        <f ca="1">OFFSET(U112,0,VLOOKUP($E112,CreditDaysT[],2,FALSE))</f>
        <v>65.733395851537125</v>
      </c>
      <c r="V119" s="905">
        <f t="shared" ca="1" si="45"/>
        <v>834256.3814516773</v>
      </c>
      <c r="W119" s="824">
        <f t="shared" ca="1" si="36"/>
        <v>0</v>
      </c>
      <c r="X119" s="818"/>
    </row>
    <row r="120" spans="1:24">
      <c r="A120" s="906" t="str">
        <f t="shared" si="44"/>
        <v>Others</v>
      </c>
      <c r="I120" s="795"/>
      <c r="J120" s="907">
        <f ca="1">OFFSET(J113,0,VLOOKUP($E113,CreditDaysT[],2,FALSE))</f>
        <v>0</v>
      </c>
      <c r="K120" s="907">
        <f ca="1">OFFSET(K113,0,VLOOKUP($E113,CreditDaysT[],2,FALSE))</f>
        <v>0</v>
      </c>
      <c r="L120" s="907">
        <f ca="1">OFFSET(L113,0,VLOOKUP($E113,CreditDaysT[],2,FALSE))</f>
        <v>0</v>
      </c>
      <c r="M120" s="907">
        <f ca="1">OFFSET(M113,0,VLOOKUP($E113,CreditDaysT[],2,FALSE))</f>
        <v>0</v>
      </c>
      <c r="N120" s="907">
        <f ca="1">OFFSET(N113,0,VLOOKUP($E113,CreditDaysT[],2,FALSE))</f>
        <v>0</v>
      </c>
      <c r="O120" s="907">
        <f ca="1">OFFSET(O113,0,VLOOKUP($E113,CreditDaysT[],2,FALSE))</f>
        <v>0</v>
      </c>
      <c r="P120" s="907">
        <f ca="1">OFFSET(P113,0,VLOOKUP($E113,CreditDaysT[],2,FALSE))</f>
        <v>0</v>
      </c>
      <c r="Q120" s="907">
        <f ca="1">OFFSET(Q113,0,VLOOKUP($E113,CreditDaysT[],2,FALSE))</f>
        <v>0</v>
      </c>
      <c r="R120" s="907">
        <f ca="1">OFFSET(R113,0,VLOOKUP($E113,CreditDaysT[],2,FALSE))</f>
        <v>0</v>
      </c>
      <c r="S120" s="907">
        <f ca="1">OFFSET(S113,0,VLOOKUP($E113,CreditDaysT[],2,FALSE))</f>
        <v>0</v>
      </c>
      <c r="T120" s="907">
        <f ca="1">OFFSET(T113,0,VLOOKUP($E113,CreditDaysT[],2,FALSE))</f>
        <v>0</v>
      </c>
      <c r="U120" s="907">
        <f ca="1">OFFSET(U113,0,VLOOKUP($E113,CreditDaysT[],2,FALSE))</f>
        <v>0</v>
      </c>
      <c r="V120" s="905">
        <f t="shared" ca="1" si="45"/>
        <v>0</v>
      </c>
      <c r="W120" s="824">
        <f t="shared" ca="1" si="36"/>
        <v>0</v>
      </c>
      <c r="X120" s="818"/>
    </row>
    <row r="121" spans="1:24" ht="5.25" customHeight="1">
      <c r="I121" s="795"/>
      <c r="J121" s="795"/>
      <c r="K121" s="795"/>
      <c r="L121" s="795"/>
      <c r="M121" s="795"/>
      <c r="N121" s="795"/>
      <c r="O121" s="795"/>
      <c r="P121" s="795"/>
      <c r="Q121" s="795"/>
      <c r="R121" s="795"/>
      <c r="S121" s="795"/>
      <c r="T121" s="795"/>
      <c r="U121" s="795"/>
      <c r="V121" s="795"/>
      <c r="W121" s="824"/>
      <c r="X121" s="818"/>
    </row>
    <row r="122" spans="1:24" ht="13.5" thickBot="1">
      <c r="A122" s="943" t="s">
        <v>69</v>
      </c>
      <c r="B122" s="944"/>
      <c r="C122" s="944"/>
      <c r="D122" s="944"/>
      <c r="E122" s="944"/>
      <c r="F122" s="944"/>
      <c r="G122" s="944"/>
      <c r="H122" s="944"/>
      <c r="I122" s="945"/>
      <c r="J122" s="946">
        <f ca="1">SUM(J95,J115)</f>
        <v>19873892.028953735</v>
      </c>
      <c r="K122" s="946">
        <f t="shared" ref="K122:V122" ca="1" si="46">SUM(K95,K115)</f>
        <v>23806649.127010092</v>
      </c>
      <c r="L122" s="946">
        <f t="shared" ca="1" si="46"/>
        <v>24766311.533956967</v>
      </c>
      <c r="M122" s="946">
        <f t="shared" ca="1" si="46"/>
        <v>24579002.656189561</v>
      </c>
      <c r="N122" s="946">
        <f t="shared" ca="1" si="46"/>
        <v>35833920.696001664</v>
      </c>
      <c r="O122" s="946">
        <f t="shared" ca="1" si="46"/>
        <v>41743488.276559785</v>
      </c>
      <c r="P122" s="946">
        <f t="shared" ca="1" si="46"/>
        <v>34199994.819216058</v>
      </c>
      <c r="Q122" s="946">
        <f t="shared" ca="1" si="46"/>
        <v>33468715.291395079</v>
      </c>
      <c r="R122" s="946">
        <f t="shared" ca="1" si="46"/>
        <v>15391079.093147086</v>
      </c>
      <c r="S122" s="946">
        <f t="shared" ca="1" si="46"/>
        <v>23465982.632442199</v>
      </c>
      <c r="T122" s="946">
        <f t="shared" ca="1" si="46"/>
        <v>14813563.924933484</v>
      </c>
      <c r="U122" s="946">
        <f t="shared" ca="1" si="46"/>
        <v>16384740.752328452</v>
      </c>
      <c r="V122" s="946">
        <f t="shared" ca="1" si="46"/>
        <v>308327340.83213413</v>
      </c>
      <c r="W122" s="824">
        <f t="shared" ca="1" si="36"/>
        <v>0</v>
      </c>
      <c r="X122" s="818"/>
    </row>
    <row r="123" spans="1:24" ht="13.5" thickTop="1">
      <c r="A123" s="821" t="s">
        <v>71</v>
      </c>
      <c r="F123" s="932"/>
      <c r="G123" s="932"/>
      <c r="I123" s="795"/>
      <c r="J123" s="838">
        <f>SUM(J130:J134)</f>
        <v>17190402.421499997</v>
      </c>
      <c r="K123" s="838">
        <f t="shared" ref="K123:U123" si="47">SUM(K130:K134)</f>
        <v>17190492.385499999</v>
      </c>
      <c r="L123" s="838">
        <f t="shared" si="47"/>
        <v>18470549.713499997</v>
      </c>
      <c r="M123" s="838">
        <f t="shared" si="47"/>
        <v>19911681.755999997</v>
      </c>
      <c r="N123" s="838">
        <f t="shared" si="47"/>
        <v>29870690.931000002</v>
      </c>
      <c r="O123" s="838">
        <f t="shared" si="47"/>
        <v>32564180.038500007</v>
      </c>
      <c r="P123" s="838">
        <f t="shared" si="47"/>
        <v>23968670.683500003</v>
      </c>
      <c r="Q123" s="838">
        <f t="shared" si="47"/>
        <v>24819438.793499999</v>
      </c>
      <c r="R123" s="838">
        <f t="shared" si="47"/>
        <v>8337435.9367499994</v>
      </c>
      <c r="S123" s="838">
        <f t="shared" si="47"/>
        <v>20715951.246750001</v>
      </c>
      <c r="T123" s="838">
        <f t="shared" si="47"/>
        <v>10095231.246750001</v>
      </c>
      <c r="U123" s="838">
        <f t="shared" si="47"/>
        <v>11865351.246750001</v>
      </c>
      <c r="V123" s="838">
        <f>SUM(J123:U123)</f>
        <v>235000076.39999998</v>
      </c>
      <c r="W123" s="824">
        <f t="shared" si="36"/>
        <v>0</v>
      </c>
      <c r="X123" s="818"/>
    </row>
    <row r="124" spans="1:24" outlineLevel="1">
      <c r="A124" s="821"/>
      <c r="E124" s="875"/>
      <c r="F124" s="932"/>
      <c r="G124" s="932"/>
      <c r="H124" s="1197" t="s">
        <v>18</v>
      </c>
      <c r="I124" s="850" t="str">
        <f>A130</f>
        <v>Inputs</v>
      </c>
      <c r="J124" s="474">
        <v>0.9</v>
      </c>
      <c r="K124" s="474">
        <v>0.9</v>
      </c>
      <c r="L124" s="474">
        <v>0.9</v>
      </c>
      <c r="M124" s="474">
        <v>0.9</v>
      </c>
      <c r="N124" s="474">
        <v>0.9</v>
      </c>
      <c r="O124" s="474">
        <v>0.9</v>
      </c>
      <c r="P124" s="474">
        <v>0.9</v>
      </c>
      <c r="Q124" s="474">
        <v>0.9</v>
      </c>
      <c r="R124" s="474">
        <v>0.9</v>
      </c>
      <c r="S124" s="474">
        <v>0.9</v>
      </c>
      <c r="T124" s="474">
        <v>0.9</v>
      </c>
      <c r="U124" s="474">
        <v>0.9</v>
      </c>
      <c r="V124" s="933"/>
      <c r="W124" s="824"/>
      <c r="X124" s="818"/>
    </row>
    <row r="125" spans="1:24" outlineLevel="1">
      <c r="A125" s="821"/>
      <c r="E125" s="875"/>
      <c r="F125" s="932"/>
      <c r="G125" s="932"/>
      <c r="H125" s="1197"/>
      <c r="I125" s="856" t="str">
        <f>A131</f>
        <v>Output</v>
      </c>
      <c r="J125" s="475">
        <v>0.9</v>
      </c>
      <c r="K125" s="475">
        <v>0.9</v>
      </c>
      <c r="L125" s="475">
        <v>0.9</v>
      </c>
      <c r="M125" s="475">
        <v>0.9</v>
      </c>
      <c r="N125" s="475">
        <v>0.9</v>
      </c>
      <c r="O125" s="475">
        <v>0.9</v>
      </c>
      <c r="P125" s="475">
        <v>0.9</v>
      </c>
      <c r="Q125" s="475">
        <v>0.9</v>
      </c>
      <c r="R125" s="475">
        <v>0.9</v>
      </c>
      <c r="S125" s="475">
        <v>0.9</v>
      </c>
      <c r="T125" s="475">
        <v>0.9</v>
      </c>
      <c r="U125" s="475">
        <v>0.9</v>
      </c>
      <c r="V125" s="934"/>
      <c r="W125" s="824"/>
      <c r="X125" s="818"/>
    </row>
    <row r="126" spans="1:24" outlineLevel="1">
      <c r="A126" s="821"/>
      <c r="E126" s="875"/>
      <c r="F126" s="932"/>
      <c r="G126" s="932"/>
      <c r="H126" s="1197"/>
      <c r="I126" s="856" t="str">
        <f>A132</f>
        <v>Services</v>
      </c>
      <c r="J126" s="475">
        <v>0.9</v>
      </c>
      <c r="K126" s="475">
        <v>0.9</v>
      </c>
      <c r="L126" s="475">
        <v>0.9</v>
      </c>
      <c r="M126" s="475">
        <v>0.9</v>
      </c>
      <c r="N126" s="475">
        <v>0.9</v>
      </c>
      <c r="O126" s="475">
        <v>0.9</v>
      </c>
      <c r="P126" s="475">
        <v>0.9</v>
      </c>
      <c r="Q126" s="475">
        <v>0.9</v>
      </c>
      <c r="R126" s="475">
        <v>0.9</v>
      </c>
      <c r="S126" s="475">
        <v>0.9</v>
      </c>
      <c r="T126" s="475">
        <v>0.9</v>
      </c>
      <c r="U126" s="475">
        <v>0.9</v>
      </c>
      <c r="V126" s="934"/>
      <c r="W126" s="824"/>
      <c r="X126" s="818"/>
    </row>
    <row r="127" spans="1:24" outlineLevel="1">
      <c r="A127" s="821"/>
      <c r="E127" s="875"/>
      <c r="F127" s="932"/>
      <c r="G127" s="932"/>
      <c r="H127" s="1197"/>
      <c r="I127" s="856" t="str">
        <f>A133</f>
        <v>Processing</v>
      </c>
      <c r="J127" s="475">
        <v>0.9</v>
      </c>
      <c r="K127" s="475">
        <v>0.9</v>
      </c>
      <c r="L127" s="475">
        <v>0.9</v>
      </c>
      <c r="M127" s="475">
        <v>0.9</v>
      </c>
      <c r="N127" s="475">
        <v>0.9</v>
      </c>
      <c r="O127" s="475">
        <v>0.9</v>
      </c>
      <c r="P127" s="475">
        <v>0.9</v>
      </c>
      <c r="Q127" s="475">
        <v>0.9</v>
      </c>
      <c r="R127" s="475">
        <v>0.9</v>
      </c>
      <c r="S127" s="475">
        <v>0.9</v>
      </c>
      <c r="T127" s="475">
        <v>0.9</v>
      </c>
      <c r="U127" s="475">
        <v>0.9</v>
      </c>
      <c r="V127" s="934"/>
      <c r="W127" s="824"/>
      <c r="X127" s="818"/>
    </row>
    <row r="128" spans="1:24" outlineLevel="1">
      <c r="A128" s="821"/>
      <c r="E128" s="875"/>
      <c r="F128" s="932"/>
      <c r="G128" s="932"/>
      <c r="H128" s="1197"/>
      <c r="I128" s="859" t="str">
        <f>A134</f>
        <v>Others</v>
      </c>
      <c r="J128" s="476">
        <v>0.9</v>
      </c>
      <c r="K128" s="476">
        <v>0.9</v>
      </c>
      <c r="L128" s="476">
        <v>0.9</v>
      </c>
      <c r="M128" s="476">
        <v>0.9</v>
      </c>
      <c r="N128" s="476">
        <v>0.9</v>
      </c>
      <c r="O128" s="476">
        <v>0.9</v>
      </c>
      <c r="P128" s="476">
        <v>0.9</v>
      </c>
      <c r="Q128" s="476">
        <v>0.9</v>
      </c>
      <c r="R128" s="476">
        <v>0.9</v>
      </c>
      <c r="S128" s="476">
        <v>0.9</v>
      </c>
      <c r="T128" s="476">
        <v>0.9</v>
      </c>
      <c r="U128" s="476">
        <v>0.9</v>
      </c>
      <c r="V128" s="935"/>
      <c r="W128" s="824"/>
      <c r="X128" s="818"/>
    </row>
    <row r="129" spans="1:24">
      <c r="A129" s="821"/>
      <c r="C129" s="940"/>
      <c r="E129" s="875"/>
      <c r="F129" s="932"/>
      <c r="G129" s="932"/>
      <c r="I129" s="795"/>
      <c r="J129" s="838"/>
      <c r="K129" s="838"/>
      <c r="L129" s="838"/>
      <c r="M129" s="838"/>
      <c r="N129" s="838"/>
      <c r="O129" s="838"/>
      <c r="P129" s="838"/>
      <c r="Q129" s="838"/>
      <c r="R129" s="838"/>
      <c r="S129" s="838"/>
      <c r="T129" s="838"/>
      <c r="U129" s="838"/>
      <c r="V129" s="838"/>
      <c r="W129" s="824"/>
      <c r="X129" s="818"/>
    </row>
    <row r="130" spans="1:24" ht="15" customHeight="1">
      <c r="A130" s="906" t="str">
        <f>A102</f>
        <v>Inputs</v>
      </c>
      <c r="B130" s="906"/>
      <c r="C130" s="940"/>
      <c r="E130" s="914"/>
      <c r="F130" s="937"/>
      <c r="G130" s="938"/>
      <c r="I130" s="795"/>
      <c r="J130" s="795">
        <f>J124*J31</f>
        <v>858730.26150000002</v>
      </c>
      <c r="K130" s="795">
        <f t="shared" ref="K130:U130" si="48">K124*K31</f>
        <v>858820.22550000006</v>
      </c>
      <c r="L130" s="795">
        <f t="shared" si="48"/>
        <v>930717.55350000004</v>
      </c>
      <c r="M130" s="795">
        <f t="shared" si="48"/>
        <v>1189091.196</v>
      </c>
      <c r="N130" s="795">
        <f t="shared" si="48"/>
        <v>1069569.1710000001</v>
      </c>
      <c r="O130" s="795">
        <f t="shared" si="48"/>
        <v>1145001.4785</v>
      </c>
      <c r="P130" s="795">
        <f t="shared" si="48"/>
        <v>958724.92350000003</v>
      </c>
      <c r="Q130" s="795">
        <f t="shared" si="48"/>
        <v>961714.6335</v>
      </c>
      <c r="R130" s="795">
        <f t="shared" si="48"/>
        <v>486599.85675000009</v>
      </c>
      <c r="S130" s="795">
        <f t="shared" si="48"/>
        <v>849755.16674999997</v>
      </c>
      <c r="T130" s="795">
        <f t="shared" si="48"/>
        <v>527915.16674999997</v>
      </c>
      <c r="U130" s="795">
        <f t="shared" si="48"/>
        <v>581555.16674999997</v>
      </c>
      <c r="V130" s="838">
        <f>SUM(J130:U130)</f>
        <v>10418194.800000004</v>
      </c>
      <c r="W130" s="824">
        <f t="shared" ref="W130:W161" si="49">SUM(J130:V130)/2-V130</f>
        <v>0</v>
      </c>
      <c r="X130" s="818"/>
    </row>
    <row r="131" spans="1:24" ht="15" customHeight="1">
      <c r="A131" s="906" t="str">
        <f t="shared" ref="A131:A134" si="50">A103</f>
        <v>Output</v>
      </c>
      <c r="B131" s="906"/>
      <c r="C131" s="940"/>
      <c r="E131" s="914"/>
      <c r="F131" s="937"/>
      <c r="G131" s="938"/>
      <c r="I131" s="795"/>
      <c r="J131" s="795">
        <f t="shared" ref="J131:U134" si="51">J125*J32</f>
        <v>16331672.159999998</v>
      </c>
      <c r="K131" s="795">
        <f t="shared" si="51"/>
        <v>16331672.159999998</v>
      </c>
      <c r="L131" s="795">
        <f t="shared" si="51"/>
        <v>16331672.159999998</v>
      </c>
      <c r="M131" s="795">
        <f t="shared" si="51"/>
        <v>18106904.16</v>
      </c>
      <c r="N131" s="795">
        <f t="shared" si="51"/>
        <v>26921180.16</v>
      </c>
      <c r="O131" s="795">
        <f t="shared" si="51"/>
        <v>29672300.160000008</v>
      </c>
      <c r="P131" s="795">
        <f t="shared" si="51"/>
        <v>22266704.16</v>
      </c>
      <c r="Q131" s="795">
        <f t="shared" si="51"/>
        <v>23242592.16</v>
      </c>
      <c r="R131" s="795">
        <f t="shared" si="51"/>
        <v>7850836.0799999991</v>
      </c>
      <c r="S131" s="795">
        <f t="shared" si="51"/>
        <v>19866196.080000002</v>
      </c>
      <c r="T131" s="795">
        <f t="shared" si="51"/>
        <v>9567316.0800000001</v>
      </c>
      <c r="U131" s="795">
        <f t="shared" si="51"/>
        <v>11283796.08</v>
      </c>
      <c r="V131" s="838">
        <f t="shared" ref="V131:V134" si="52">SUM(J131:U131)</f>
        <v>217772841.60000005</v>
      </c>
      <c r="W131" s="824">
        <f t="shared" si="49"/>
        <v>0</v>
      </c>
      <c r="X131" s="818"/>
    </row>
    <row r="132" spans="1:24" ht="15" customHeight="1">
      <c r="A132" s="906" t="str">
        <f t="shared" si="50"/>
        <v>Services</v>
      </c>
      <c r="B132" s="906"/>
      <c r="C132" s="940"/>
      <c r="E132" s="914"/>
      <c r="F132" s="937"/>
      <c r="G132" s="938"/>
      <c r="I132" s="795"/>
      <c r="J132" s="795">
        <f t="shared" si="51"/>
        <v>0</v>
      </c>
      <c r="K132" s="795">
        <f t="shared" si="51"/>
        <v>0</v>
      </c>
      <c r="L132" s="795">
        <f t="shared" si="51"/>
        <v>0</v>
      </c>
      <c r="M132" s="795">
        <f t="shared" si="51"/>
        <v>0</v>
      </c>
      <c r="N132" s="795">
        <f t="shared" si="51"/>
        <v>0</v>
      </c>
      <c r="O132" s="795">
        <f t="shared" si="51"/>
        <v>0</v>
      </c>
      <c r="P132" s="795">
        <f t="shared" si="51"/>
        <v>0</v>
      </c>
      <c r="Q132" s="795">
        <f t="shared" si="51"/>
        <v>0</v>
      </c>
      <c r="R132" s="795">
        <f t="shared" si="51"/>
        <v>0</v>
      </c>
      <c r="S132" s="795">
        <f t="shared" si="51"/>
        <v>0</v>
      </c>
      <c r="T132" s="795">
        <f t="shared" si="51"/>
        <v>0</v>
      </c>
      <c r="U132" s="795">
        <f t="shared" si="51"/>
        <v>0</v>
      </c>
      <c r="V132" s="838">
        <f t="shared" si="52"/>
        <v>0</v>
      </c>
      <c r="W132" s="824">
        <f t="shared" si="49"/>
        <v>0</v>
      </c>
      <c r="X132" s="818"/>
    </row>
    <row r="133" spans="1:24" ht="15" customHeight="1">
      <c r="A133" s="906" t="str">
        <f t="shared" si="50"/>
        <v>Processing</v>
      </c>
      <c r="B133" s="906"/>
      <c r="C133" s="940"/>
      <c r="E133" s="914"/>
      <c r="F133" s="937"/>
      <c r="G133" s="938"/>
      <c r="I133" s="795"/>
      <c r="J133" s="795">
        <f t="shared" si="51"/>
        <v>0</v>
      </c>
      <c r="K133" s="795">
        <f t="shared" si="51"/>
        <v>0</v>
      </c>
      <c r="L133" s="795">
        <f t="shared" si="51"/>
        <v>1208160</v>
      </c>
      <c r="M133" s="795">
        <f t="shared" si="51"/>
        <v>615686.40000000002</v>
      </c>
      <c r="N133" s="795">
        <f t="shared" si="51"/>
        <v>1879941.6</v>
      </c>
      <c r="O133" s="795">
        <f t="shared" si="51"/>
        <v>1746878.4000000001</v>
      </c>
      <c r="P133" s="795">
        <f t="shared" si="51"/>
        <v>743241.6</v>
      </c>
      <c r="Q133" s="795">
        <f t="shared" si="51"/>
        <v>615132</v>
      </c>
      <c r="R133" s="795">
        <f t="shared" si="51"/>
        <v>0</v>
      </c>
      <c r="S133" s="795">
        <f t="shared" si="51"/>
        <v>0</v>
      </c>
      <c r="T133" s="795">
        <f t="shared" si="51"/>
        <v>0</v>
      </c>
      <c r="U133" s="795">
        <f t="shared" si="51"/>
        <v>0</v>
      </c>
      <c r="V133" s="838">
        <f t="shared" si="52"/>
        <v>6809040</v>
      </c>
      <c r="W133" s="824">
        <f t="shared" si="49"/>
        <v>0</v>
      </c>
      <c r="X133" s="818"/>
    </row>
    <row r="134" spans="1:24" ht="15" customHeight="1">
      <c r="A134" s="906" t="str">
        <f t="shared" si="50"/>
        <v>Others</v>
      </c>
      <c r="B134" s="906"/>
      <c r="C134" s="940"/>
      <c r="E134" s="914"/>
      <c r="F134" s="937"/>
      <c r="G134" s="938"/>
      <c r="I134" s="795"/>
      <c r="J134" s="795">
        <f t="shared" si="51"/>
        <v>0</v>
      </c>
      <c r="K134" s="795">
        <f t="shared" si="51"/>
        <v>0</v>
      </c>
      <c r="L134" s="795">
        <f t="shared" si="51"/>
        <v>0</v>
      </c>
      <c r="M134" s="795">
        <f t="shared" si="51"/>
        <v>0</v>
      </c>
      <c r="N134" s="795">
        <f t="shared" si="51"/>
        <v>0</v>
      </c>
      <c r="O134" s="795">
        <f t="shared" si="51"/>
        <v>0</v>
      </c>
      <c r="P134" s="795">
        <f t="shared" si="51"/>
        <v>0</v>
      </c>
      <c r="Q134" s="795">
        <f t="shared" si="51"/>
        <v>0</v>
      </c>
      <c r="R134" s="795">
        <f t="shared" si="51"/>
        <v>0</v>
      </c>
      <c r="S134" s="795">
        <f t="shared" si="51"/>
        <v>0</v>
      </c>
      <c r="T134" s="795">
        <f t="shared" si="51"/>
        <v>0</v>
      </c>
      <c r="U134" s="795">
        <f t="shared" si="51"/>
        <v>0</v>
      </c>
      <c r="V134" s="838">
        <f t="shared" si="52"/>
        <v>0</v>
      </c>
      <c r="W134" s="824">
        <f t="shared" si="49"/>
        <v>0</v>
      </c>
      <c r="X134" s="818"/>
    </row>
    <row r="135" spans="1:24" ht="7.15" customHeight="1">
      <c r="A135" s="891"/>
      <c r="B135" s="892"/>
      <c r="C135" s="892"/>
      <c r="D135" s="892"/>
      <c r="E135" s="857"/>
      <c r="F135" s="857"/>
      <c r="G135" s="892"/>
      <c r="H135" s="892"/>
      <c r="I135" s="795"/>
      <c r="J135" s="795"/>
      <c r="K135" s="795"/>
      <c r="L135" s="795"/>
      <c r="M135" s="795"/>
      <c r="N135" s="795"/>
      <c r="O135" s="795"/>
      <c r="P135" s="795"/>
      <c r="Q135" s="795"/>
      <c r="R135" s="795"/>
      <c r="S135" s="795"/>
      <c r="T135" s="795"/>
      <c r="U135" s="795"/>
      <c r="V135" s="795"/>
      <c r="X135" s="818"/>
    </row>
    <row r="136" spans="1:24">
      <c r="A136" s="821" t="s">
        <v>70</v>
      </c>
      <c r="E136" s="875" t="s">
        <v>66</v>
      </c>
      <c r="I136" s="795"/>
      <c r="J136" s="838">
        <f>SUM(J137:J141)</f>
        <v>1910044.7135000001</v>
      </c>
      <c r="K136" s="838">
        <f t="shared" ref="K136:V136" si="53">SUM(K137:K141)</f>
        <v>1910054.7095000003</v>
      </c>
      <c r="L136" s="838">
        <f t="shared" si="53"/>
        <v>2052283.3015000001</v>
      </c>
      <c r="M136" s="838">
        <f t="shared" si="53"/>
        <v>2212409.0839999984</v>
      </c>
      <c r="N136" s="838">
        <f t="shared" si="53"/>
        <v>3318965.6589999981</v>
      </c>
      <c r="O136" s="838">
        <f t="shared" si="53"/>
        <v>3618242.226499998</v>
      </c>
      <c r="P136" s="838">
        <f t="shared" si="53"/>
        <v>2663185.6314999983</v>
      </c>
      <c r="Q136" s="838">
        <f t="shared" si="53"/>
        <v>2757715.4214999983</v>
      </c>
      <c r="R136" s="838">
        <f t="shared" si="53"/>
        <v>926381.77075000014</v>
      </c>
      <c r="S136" s="838">
        <f t="shared" si="53"/>
        <v>2301772.3607500009</v>
      </c>
      <c r="T136" s="838">
        <f t="shared" si="53"/>
        <v>1121692.3607499991</v>
      </c>
      <c r="U136" s="838">
        <f t="shared" si="53"/>
        <v>1318372.3607499991</v>
      </c>
      <c r="V136" s="838">
        <f t="shared" si="53"/>
        <v>26111119.59999999</v>
      </c>
      <c r="W136" s="824">
        <f t="shared" si="49"/>
        <v>0</v>
      </c>
      <c r="X136" s="818"/>
    </row>
    <row r="137" spans="1:24">
      <c r="A137" s="906" t="str">
        <f>A130</f>
        <v>Inputs</v>
      </c>
      <c r="D137" s="932"/>
      <c r="E137" s="941">
        <v>30</v>
      </c>
      <c r="F137" s="942" t="s">
        <v>20</v>
      </c>
      <c r="I137" s="795"/>
      <c r="J137" s="907">
        <f t="shared" ref="J137:U138" si="54">J31-J130</f>
        <v>95414.473499999964</v>
      </c>
      <c r="K137" s="907">
        <f t="shared" si="54"/>
        <v>95424.469500000007</v>
      </c>
      <c r="L137" s="907">
        <f t="shared" si="54"/>
        <v>103413.06149999995</v>
      </c>
      <c r="M137" s="907">
        <f t="shared" si="54"/>
        <v>132121.24399999995</v>
      </c>
      <c r="N137" s="907">
        <f t="shared" si="54"/>
        <v>118841.01899999985</v>
      </c>
      <c r="O137" s="907">
        <f t="shared" si="54"/>
        <v>127222.38650000002</v>
      </c>
      <c r="P137" s="907">
        <f t="shared" si="54"/>
        <v>106524.9915</v>
      </c>
      <c r="Q137" s="907">
        <f t="shared" si="54"/>
        <v>106857.18149999995</v>
      </c>
      <c r="R137" s="907">
        <f t="shared" si="54"/>
        <v>54066.650749999972</v>
      </c>
      <c r="S137" s="907">
        <f t="shared" si="54"/>
        <v>94417.240749999997</v>
      </c>
      <c r="T137" s="907">
        <f t="shared" si="54"/>
        <v>58657.240749999997</v>
      </c>
      <c r="U137" s="907">
        <f t="shared" si="54"/>
        <v>64617.240749999997</v>
      </c>
      <c r="V137" s="838">
        <f>SUM(J137:U137)</f>
        <v>1157577.1999999997</v>
      </c>
      <c r="W137" s="824">
        <f t="shared" si="49"/>
        <v>0</v>
      </c>
      <c r="X137" s="818"/>
    </row>
    <row r="138" spans="1:24">
      <c r="A138" s="906" t="str">
        <f t="shared" ref="A138:A141" si="55">A131</f>
        <v>Output</v>
      </c>
      <c r="D138" s="932"/>
      <c r="E138" s="941">
        <v>30</v>
      </c>
      <c r="F138" s="942" t="s">
        <v>20</v>
      </c>
      <c r="I138" s="795"/>
      <c r="J138" s="907">
        <f t="shared" si="54"/>
        <v>1814630.2400000002</v>
      </c>
      <c r="K138" s="907">
        <f t="shared" si="54"/>
        <v>1814630.2400000002</v>
      </c>
      <c r="L138" s="907">
        <f t="shared" si="54"/>
        <v>1814630.2400000002</v>
      </c>
      <c r="M138" s="907">
        <f t="shared" si="54"/>
        <v>2011878.2399999984</v>
      </c>
      <c r="N138" s="907">
        <f t="shared" si="54"/>
        <v>2991242.2399999984</v>
      </c>
      <c r="O138" s="907">
        <f t="shared" si="54"/>
        <v>3296922.2399999984</v>
      </c>
      <c r="P138" s="907">
        <f t="shared" si="54"/>
        <v>2474078.2399999984</v>
      </c>
      <c r="Q138" s="907">
        <f t="shared" si="54"/>
        <v>2582510.2399999984</v>
      </c>
      <c r="R138" s="907">
        <f t="shared" si="54"/>
        <v>872315.12000000011</v>
      </c>
      <c r="S138" s="907">
        <f t="shared" si="54"/>
        <v>2207355.120000001</v>
      </c>
      <c r="T138" s="907">
        <f t="shared" si="54"/>
        <v>1063035.1199999992</v>
      </c>
      <c r="U138" s="907">
        <f t="shared" si="54"/>
        <v>1253755.1199999992</v>
      </c>
      <c r="V138" s="838">
        <f t="shared" ref="V138:V141" si="56">SUM(J138:U138)</f>
        <v>24196982.399999991</v>
      </c>
      <c r="W138" s="824">
        <f t="shared" si="49"/>
        <v>0</v>
      </c>
      <c r="X138" s="818"/>
    </row>
    <row r="139" spans="1:24">
      <c r="A139" s="906" t="str">
        <f t="shared" si="55"/>
        <v>Services</v>
      </c>
      <c r="D139" s="932"/>
      <c r="E139" s="941">
        <v>30</v>
      </c>
      <c r="F139" s="942" t="s">
        <v>20</v>
      </c>
      <c r="I139" s="795"/>
      <c r="J139" s="907">
        <v>0</v>
      </c>
      <c r="K139" s="907">
        <v>0</v>
      </c>
      <c r="L139" s="907">
        <v>0</v>
      </c>
      <c r="M139" s="907">
        <v>0</v>
      </c>
      <c r="N139" s="907">
        <v>0</v>
      </c>
      <c r="O139" s="907">
        <v>0</v>
      </c>
      <c r="P139" s="907">
        <v>0</v>
      </c>
      <c r="Q139" s="907">
        <v>0</v>
      </c>
      <c r="R139" s="907">
        <v>0</v>
      </c>
      <c r="S139" s="907">
        <v>0</v>
      </c>
      <c r="T139" s="907">
        <v>0</v>
      </c>
      <c r="U139" s="907">
        <v>0</v>
      </c>
      <c r="V139" s="838">
        <f t="shared" si="56"/>
        <v>0</v>
      </c>
      <c r="W139" s="824">
        <f t="shared" si="49"/>
        <v>0</v>
      </c>
      <c r="X139" s="818"/>
    </row>
    <row r="140" spans="1:24">
      <c r="A140" s="906" t="str">
        <f t="shared" si="55"/>
        <v>Processing</v>
      </c>
      <c r="D140" s="932"/>
      <c r="E140" s="941">
        <v>30</v>
      </c>
      <c r="F140" s="942" t="s">
        <v>20</v>
      </c>
      <c r="I140" s="795"/>
      <c r="J140" s="907">
        <f t="shared" ref="J140:U141" si="57">J34-J133</f>
        <v>0</v>
      </c>
      <c r="K140" s="907">
        <f t="shared" si="57"/>
        <v>0</v>
      </c>
      <c r="L140" s="907">
        <f t="shared" si="57"/>
        <v>134240</v>
      </c>
      <c r="M140" s="907">
        <f t="shared" si="57"/>
        <v>68409.599999999977</v>
      </c>
      <c r="N140" s="907">
        <f t="shared" si="57"/>
        <v>208882.39999999991</v>
      </c>
      <c r="O140" s="907">
        <f t="shared" si="57"/>
        <v>194097.59999999986</v>
      </c>
      <c r="P140" s="907">
        <f t="shared" si="57"/>
        <v>82582.400000000023</v>
      </c>
      <c r="Q140" s="907">
        <f t="shared" si="57"/>
        <v>68348</v>
      </c>
      <c r="R140" s="907">
        <f t="shared" si="57"/>
        <v>0</v>
      </c>
      <c r="S140" s="907">
        <f t="shared" si="57"/>
        <v>0</v>
      </c>
      <c r="T140" s="907">
        <f t="shared" si="57"/>
        <v>0</v>
      </c>
      <c r="U140" s="907">
        <f t="shared" si="57"/>
        <v>0</v>
      </c>
      <c r="V140" s="838">
        <f t="shared" si="56"/>
        <v>756559.99999999977</v>
      </c>
      <c r="W140" s="824">
        <f t="shared" si="49"/>
        <v>0</v>
      </c>
      <c r="X140" s="818"/>
    </row>
    <row r="141" spans="1:24">
      <c r="A141" s="906" t="str">
        <f t="shared" si="55"/>
        <v>Others</v>
      </c>
      <c r="D141" s="932"/>
      <c r="E141" s="941">
        <v>30</v>
      </c>
      <c r="F141" s="942" t="s">
        <v>20</v>
      </c>
      <c r="I141" s="795"/>
      <c r="J141" s="907">
        <f t="shared" si="57"/>
        <v>0</v>
      </c>
      <c r="K141" s="907">
        <f t="shared" si="57"/>
        <v>0</v>
      </c>
      <c r="L141" s="907">
        <f t="shared" si="57"/>
        <v>0</v>
      </c>
      <c r="M141" s="907">
        <f t="shared" si="57"/>
        <v>0</v>
      </c>
      <c r="N141" s="907">
        <f t="shared" si="57"/>
        <v>0</v>
      </c>
      <c r="O141" s="907">
        <f t="shared" si="57"/>
        <v>0</v>
      </c>
      <c r="P141" s="907">
        <f t="shared" si="57"/>
        <v>0</v>
      </c>
      <c r="Q141" s="907">
        <f t="shared" si="57"/>
        <v>0</v>
      </c>
      <c r="R141" s="907">
        <f t="shared" si="57"/>
        <v>0</v>
      </c>
      <c r="S141" s="907">
        <f t="shared" si="57"/>
        <v>0</v>
      </c>
      <c r="T141" s="907">
        <f t="shared" si="57"/>
        <v>0</v>
      </c>
      <c r="U141" s="907">
        <f t="shared" si="57"/>
        <v>0</v>
      </c>
      <c r="V141" s="838">
        <f t="shared" si="56"/>
        <v>0</v>
      </c>
      <c r="W141" s="824">
        <f t="shared" si="49"/>
        <v>0</v>
      </c>
      <c r="X141" s="818"/>
    </row>
    <row r="142" spans="1:24">
      <c r="I142" s="795"/>
      <c r="J142" s="795"/>
      <c r="K142" s="795"/>
      <c r="L142" s="795"/>
      <c r="M142" s="795"/>
      <c r="N142" s="795"/>
      <c r="O142" s="795"/>
      <c r="P142" s="795"/>
      <c r="Q142" s="795"/>
      <c r="R142" s="795"/>
      <c r="S142" s="795"/>
      <c r="T142" s="795"/>
      <c r="U142" s="795"/>
      <c r="V142" s="795"/>
      <c r="X142" s="818"/>
    </row>
    <row r="143" spans="1:24">
      <c r="A143" s="821" t="s">
        <v>72</v>
      </c>
      <c r="I143" s="795"/>
      <c r="J143" s="838">
        <f ca="1">SUM(J144:J148)</f>
        <v>0</v>
      </c>
      <c r="K143" s="838">
        <f t="shared" ref="K143:V143" ca="1" si="58">SUM(K144:K148)</f>
        <v>1910044.7135000001</v>
      </c>
      <c r="L143" s="838">
        <f t="shared" ca="1" si="58"/>
        <v>1910054.7095000003</v>
      </c>
      <c r="M143" s="838">
        <f t="shared" ca="1" si="58"/>
        <v>2052283.3015000001</v>
      </c>
      <c r="N143" s="838">
        <f t="shared" ca="1" si="58"/>
        <v>2212409.0839999984</v>
      </c>
      <c r="O143" s="838">
        <f t="shared" ca="1" si="58"/>
        <v>3318965.6589999981</v>
      </c>
      <c r="P143" s="838">
        <f t="shared" ca="1" si="58"/>
        <v>3618242.226499998</v>
      </c>
      <c r="Q143" s="838">
        <f t="shared" ca="1" si="58"/>
        <v>2663185.6314999983</v>
      </c>
      <c r="R143" s="838">
        <f t="shared" ca="1" si="58"/>
        <v>2757715.4214999983</v>
      </c>
      <c r="S143" s="838">
        <f t="shared" ca="1" si="58"/>
        <v>926381.77075000014</v>
      </c>
      <c r="T143" s="838">
        <f t="shared" ca="1" si="58"/>
        <v>2301772.3607500009</v>
      </c>
      <c r="U143" s="838">
        <f t="shared" ca="1" si="58"/>
        <v>1121692.3607499991</v>
      </c>
      <c r="V143" s="838">
        <f t="shared" ca="1" si="58"/>
        <v>24792747.239249993</v>
      </c>
      <c r="W143" s="824">
        <f t="shared" ca="1" si="49"/>
        <v>0</v>
      </c>
      <c r="X143" s="818"/>
    </row>
    <row r="144" spans="1:24">
      <c r="A144" s="906" t="str">
        <f>A137</f>
        <v>Inputs</v>
      </c>
      <c r="I144" s="795"/>
      <c r="J144" s="907">
        <f ca="1">OFFSET(J137,0,VLOOKUP($E137,CreditDaysT[],2,FALSE))</f>
        <v>0</v>
      </c>
      <c r="K144" s="907">
        <f ca="1">OFFSET(K137,0,VLOOKUP($E137,CreditDaysT[],2,FALSE))</f>
        <v>95414.473499999964</v>
      </c>
      <c r="L144" s="907">
        <f ca="1">OFFSET(L137,0,VLOOKUP($E137,CreditDaysT[],2,FALSE))</f>
        <v>95424.469500000007</v>
      </c>
      <c r="M144" s="907">
        <f ca="1">OFFSET(M137,0,VLOOKUP($E137,CreditDaysT[],2,FALSE))</f>
        <v>103413.06149999995</v>
      </c>
      <c r="N144" s="907">
        <f ca="1">OFFSET(N137,0,VLOOKUP($E137,CreditDaysT[],2,FALSE))</f>
        <v>132121.24399999995</v>
      </c>
      <c r="O144" s="907">
        <f ca="1">OFFSET(O137,0,VLOOKUP($E137,CreditDaysT[],2,FALSE))</f>
        <v>118841.01899999985</v>
      </c>
      <c r="P144" s="907">
        <f ca="1">OFFSET(P137,0,VLOOKUP($E137,CreditDaysT[],2,FALSE))</f>
        <v>127222.38650000002</v>
      </c>
      <c r="Q144" s="907">
        <f ca="1">OFFSET(Q137,0,VLOOKUP($E137,CreditDaysT[],2,FALSE))</f>
        <v>106524.9915</v>
      </c>
      <c r="R144" s="907">
        <f ca="1">OFFSET(R137,0,VLOOKUP($E137,CreditDaysT[],2,FALSE))</f>
        <v>106857.18149999995</v>
      </c>
      <c r="S144" s="907">
        <f ca="1">OFFSET(S137,0,VLOOKUP($E137,CreditDaysT[],2,FALSE))</f>
        <v>54066.650749999972</v>
      </c>
      <c r="T144" s="907">
        <f ca="1">OFFSET(T137,0,VLOOKUP($E137,CreditDaysT[],2,FALSE))</f>
        <v>94417.240749999997</v>
      </c>
      <c r="U144" s="907">
        <f ca="1">OFFSET(U137,0,VLOOKUP($E137,CreditDaysT[],2,FALSE))</f>
        <v>58657.240749999997</v>
      </c>
      <c r="V144" s="905">
        <f ca="1">SUM(J144:U144)</f>
        <v>1092959.9592499996</v>
      </c>
      <c r="W144" s="824">
        <f t="shared" ca="1" si="49"/>
        <v>0</v>
      </c>
      <c r="X144" s="818"/>
    </row>
    <row r="145" spans="1:24">
      <c r="A145" s="906" t="str">
        <f t="shared" ref="A145:A148" si="59">A138</f>
        <v>Output</v>
      </c>
      <c r="I145" s="795"/>
      <c r="J145" s="907">
        <f ca="1">OFFSET(J138,0,VLOOKUP($E138,CreditDaysT[],2,FALSE))</f>
        <v>0</v>
      </c>
      <c r="K145" s="907">
        <f ca="1">OFFSET(K138,0,VLOOKUP($E138,CreditDaysT[],2,FALSE))</f>
        <v>1814630.2400000002</v>
      </c>
      <c r="L145" s="907">
        <f ca="1">OFFSET(L138,0,VLOOKUP($E138,CreditDaysT[],2,FALSE))</f>
        <v>1814630.2400000002</v>
      </c>
      <c r="M145" s="907">
        <f ca="1">OFFSET(M138,0,VLOOKUP($E138,CreditDaysT[],2,FALSE))</f>
        <v>1814630.2400000002</v>
      </c>
      <c r="N145" s="907">
        <f ca="1">OFFSET(N138,0,VLOOKUP($E138,CreditDaysT[],2,FALSE))</f>
        <v>2011878.2399999984</v>
      </c>
      <c r="O145" s="907">
        <f ca="1">OFFSET(O138,0,VLOOKUP($E138,CreditDaysT[],2,FALSE))</f>
        <v>2991242.2399999984</v>
      </c>
      <c r="P145" s="907">
        <f ca="1">OFFSET(P138,0,VLOOKUP($E138,CreditDaysT[],2,FALSE))</f>
        <v>3296922.2399999984</v>
      </c>
      <c r="Q145" s="907">
        <f ca="1">OFFSET(Q138,0,VLOOKUP($E138,CreditDaysT[],2,FALSE))</f>
        <v>2474078.2399999984</v>
      </c>
      <c r="R145" s="907">
        <f ca="1">OFFSET(R138,0,VLOOKUP($E138,CreditDaysT[],2,FALSE))</f>
        <v>2582510.2399999984</v>
      </c>
      <c r="S145" s="907">
        <f ca="1">OFFSET(S138,0,VLOOKUP($E138,CreditDaysT[],2,FALSE))</f>
        <v>872315.12000000011</v>
      </c>
      <c r="T145" s="907">
        <f ca="1">OFFSET(T138,0,VLOOKUP($E138,CreditDaysT[],2,FALSE))</f>
        <v>2207355.120000001</v>
      </c>
      <c r="U145" s="907">
        <f ca="1">OFFSET(U138,0,VLOOKUP($E138,CreditDaysT[],2,FALSE))</f>
        <v>1063035.1199999992</v>
      </c>
      <c r="V145" s="905">
        <f t="shared" ref="V145:V148" ca="1" si="60">SUM(J145:U145)</f>
        <v>22943227.279999994</v>
      </c>
      <c r="W145" s="824">
        <f t="shared" ca="1" si="49"/>
        <v>0</v>
      </c>
      <c r="X145" s="818"/>
    </row>
    <row r="146" spans="1:24">
      <c r="A146" s="906" t="str">
        <f t="shared" si="59"/>
        <v>Services</v>
      </c>
      <c r="I146" s="795"/>
      <c r="J146" s="907">
        <f ca="1">OFFSET(J139,0,VLOOKUP($E139,CreditDaysT[],2,FALSE))</f>
        <v>0</v>
      </c>
      <c r="K146" s="907">
        <f ca="1">OFFSET(K139,0,VLOOKUP($E139,CreditDaysT[],2,FALSE))</f>
        <v>0</v>
      </c>
      <c r="L146" s="907">
        <f ca="1">OFFSET(L139,0,VLOOKUP($E139,CreditDaysT[],2,FALSE))</f>
        <v>0</v>
      </c>
      <c r="M146" s="907">
        <f ca="1">OFFSET(M139,0,VLOOKUP($E139,CreditDaysT[],2,FALSE))</f>
        <v>0</v>
      </c>
      <c r="N146" s="907">
        <f ca="1">OFFSET(N139,0,VLOOKUP($E139,CreditDaysT[],2,FALSE))</f>
        <v>0</v>
      </c>
      <c r="O146" s="907">
        <f ca="1">OFFSET(O139,0,VLOOKUP($E139,CreditDaysT[],2,FALSE))</f>
        <v>0</v>
      </c>
      <c r="P146" s="907">
        <f ca="1">OFFSET(P139,0,VLOOKUP($E139,CreditDaysT[],2,FALSE))</f>
        <v>0</v>
      </c>
      <c r="Q146" s="907">
        <f ca="1">OFFSET(Q139,0,VLOOKUP($E139,CreditDaysT[],2,FALSE))</f>
        <v>0</v>
      </c>
      <c r="R146" s="907">
        <f ca="1">OFFSET(R139,0,VLOOKUP($E139,CreditDaysT[],2,FALSE))</f>
        <v>0</v>
      </c>
      <c r="S146" s="907">
        <f ca="1">OFFSET(S139,0,VLOOKUP($E139,CreditDaysT[],2,FALSE))</f>
        <v>0</v>
      </c>
      <c r="T146" s="907">
        <f ca="1">OFFSET(T139,0,VLOOKUP($E139,CreditDaysT[],2,FALSE))</f>
        <v>0</v>
      </c>
      <c r="U146" s="907">
        <f ca="1">OFFSET(U139,0,VLOOKUP($E139,CreditDaysT[],2,FALSE))</f>
        <v>0</v>
      </c>
      <c r="V146" s="905">
        <f t="shared" ca="1" si="60"/>
        <v>0</v>
      </c>
      <c r="W146" s="824">
        <f t="shared" ca="1" si="49"/>
        <v>0</v>
      </c>
      <c r="X146" s="818"/>
    </row>
    <row r="147" spans="1:24">
      <c r="A147" s="906" t="str">
        <f t="shared" si="59"/>
        <v>Processing</v>
      </c>
      <c r="I147" s="795"/>
      <c r="J147" s="907">
        <f ca="1">OFFSET(J140,0,VLOOKUP($E140,CreditDaysT[],2,FALSE))</f>
        <v>0</v>
      </c>
      <c r="K147" s="907">
        <f ca="1">OFFSET(K140,0,VLOOKUP($E140,CreditDaysT[],2,FALSE))</f>
        <v>0</v>
      </c>
      <c r="L147" s="907">
        <f ca="1">OFFSET(L140,0,VLOOKUP($E140,CreditDaysT[],2,FALSE))</f>
        <v>0</v>
      </c>
      <c r="M147" s="907">
        <f ca="1">OFFSET(M140,0,VLOOKUP($E140,CreditDaysT[],2,FALSE))</f>
        <v>134240</v>
      </c>
      <c r="N147" s="907">
        <f ca="1">OFFSET(N140,0,VLOOKUP($E140,CreditDaysT[],2,FALSE))</f>
        <v>68409.599999999977</v>
      </c>
      <c r="O147" s="907">
        <f ca="1">OFFSET(O140,0,VLOOKUP($E140,CreditDaysT[],2,FALSE))</f>
        <v>208882.39999999991</v>
      </c>
      <c r="P147" s="907">
        <f ca="1">OFFSET(P140,0,VLOOKUP($E140,CreditDaysT[],2,FALSE))</f>
        <v>194097.59999999986</v>
      </c>
      <c r="Q147" s="907">
        <f ca="1">OFFSET(Q140,0,VLOOKUP($E140,CreditDaysT[],2,FALSE))</f>
        <v>82582.400000000023</v>
      </c>
      <c r="R147" s="907">
        <f ca="1">OFFSET(R140,0,VLOOKUP($E140,CreditDaysT[],2,FALSE))</f>
        <v>68348</v>
      </c>
      <c r="S147" s="907">
        <f ca="1">OFFSET(S140,0,VLOOKUP($E140,CreditDaysT[],2,FALSE))</f>
        <v>0</v>
      </c>
      <c r="T147" s="907">
        <f ca="1">OFFSET(T140,0,VLOOKUP($E140,CreditDaysT[],2,FALSE))</f>
        <v>0</v>
      </c>
      <c r="U147" s="907">
        <f ca="1">OFFSET(U140,0,VLOOKUP($E140,CreditDaysT[],2,FALSE))</f>
        <v>0</v>
      </c>
      <c r="V147" s="905">
        <f t="shared" ca="1" si="60"/>
        <v>756559.99999999977</v>
      </c>
      <c r="W147" s="824">
        <f t="shared" ca="1" si="49"/>
        <v>0</v>
      </c>
      <c r="X147" s="818"/>
    </row>
    <row r="148" spans="1:24">
      <c r="A148" s="906" t="str">
        <f t="shared" si="59"/>
        <v>Others</v>
      </c>
      <c r="I148" s="795"/>
      <c r="J148" s="907">
        <f ca="1">OFFSET(J141,0,VLOOKUP($E141,CreditDaysT[],2,FALSE))</f>
        <v>0</v>
      </c>
      <c r="K148" s="907">
        <f ca="1">OFFSET(K141,0,VLOOKUP($E141,CreditDaysT[],2,FALSE))</f>
        <v>0</v>
      </c>
      <c r="L148" s="907">
        <f ca="1">OFFSET(L141,0,VLOOKUP($E141,CreditDaysT[],2,FALSE))</f>
        <v>0</v>
      </c>
      <c r="M148" s="907">
        <f ca="1">OFFSET(M141,0,VLOOKUP($E141,CreditDaysT[],2,FALSE))</f>
        <v>0</v>
      </c>
      <c r="N148" s="907">
        <f ca="1">OFFSET(N141,0,VLOOKUP($E141,CreditDaysT[],2,FALSE))</f>
        <v>0</v>
      </c>
      <c r="O148" s="907">
        <f ca="1">OFFSET(O141,0,VLOOKUP($E141,CreditDaysT[],2,FALSE))</f>
        <v>0</v>
      </c>
      <c r="P148" s="907">
        <f ca="1">OFFSET(P141,0,VLOOKUP($E141,CreditDaysT[],2,FALSE))</f>
        <v>0</v>
      </c>
      <c r="Q148" s="907">
        <f ca="1">OFFSET(Q141,0,VLOOKUP($E141,CreditDaysT[],2,FALSE))</f>
        <v>0</v>
      </c>
      <c r="R148" s="907">
        <f ca="1">OFFSET(R141,0,VLOOKUP($E141,CreditDaysT[],2,FALSE))</f>
        <v>0</v>
      </c>
      <c r="S148" s="907">
        <f ca="1">OFFSET(S141,0,VLOOKUP($E141,CreditDaysT[],2,FALSE))</f>
        <v>0</v>
      </c>
      <c r="T148" s="907">
        <f ca="1">OFFSET(T141,0,VLOOKUP($E141,CreditDaysT[],2,FALSE))</f>
        <v>0</v>
      </c>
      <c r="U148" s="907">
        <f ca="1">OFFSET(U141,0,VLOOKUP($E141,CreditDaysT[],2,FALSE))</f>
        <v>0</v>
      </c>
      <c r="V148" s="905">
        <f t="shared" ca="1" si="60"/>
        <v>0</v>
      </c>
      <c r="W148" s="824">
        <f t="shared" ca="1" si="49"/>
        <v>0</v>
      </c>
      <c r="X148" s="818"/>
    </row>
    <row r="149" spans="1:24">
      <c r="I149" s="795"/>
      <c r="J149" s="795"/>
      <c r="K149" s="795"/>
      <c r="L149" s="795"/>
      <c r="M149" s="795"/>
      <c r="N149" s="795"/>
      <c r="O149" s="795"/>
      <c r="P149" s="795"/>
      <c r="Q149" s="795"/>
      <c r="R149" s="795"/>
      <c r="S149" s="795"/>
      <c r="T149" s="795"/>
      <c r="U149" s="795"/>
      <c r="V149" s="795"/>
      <c r="X149" s="818"/>
    </row>
    <row r="150" spans="1:24">
      <c r="A150" s="947" t="s">
        <v>73</v>
      </c>
      <c r="B150" s="948"/>
      <c r="C150" s="948"/>
      <c r="D150" s="948"/>
      <c r="E150" s="948"/>
      <c r="F150" s="948"/>
      <c r="G150" s="948"/>
      <c r="H150" s="948"/>
      <c r="I150" s="949"/>
      <c r="J150" s="950">
        <f ca="1">SUM(J123,J143)</f>
        <v>17190402.421499997</v>
      </c>
      <c r="K150" s="950">
        <f t="shared" ref="K150:V150" ca="1" si="61">SUM(K123,K143)</f>
        <v>19100537.098999999</v>
      </c>
      <c r="L150" s="950">
        <f t="shared" ca="1" si="61"/>
        <v>20380604.422999997</v>
      </c>
      <c r="M150" s="950">
        <f t="shared" ca="1" si="61"/>
        <v>21963965.057499997</v>
      </c>
      <c r="N150" s="950">
        <f t="shared" ca="1" si="61"/>
        <v>32083100.015000001</v>
      </c>
      <c r="O150" s="950">
        <f t="shared" ca="1" si="61"/>
        <v>35883145.697500005</v>
      </c>
      <c r="P150" s="950">
        <f t="shared" ca="1" si="61"/>
        <v>27586912.91</v>
      </c>
      <c r="Q150" s="950">
        <f t="shared" ca="1" si="61"/>
        <v>27482624.424999997</v>
      </c>
      <c r="R150" s="950">
        <f t="shared" ca="1" si="61"/>
        <v>11095151.358249998</v>
      </c>
      <c r="S150" s="950">
        <f t="shared" ca="1" si="61"/>
        <v>21642333.017500002</v>
      </c>
      <c r="T150" s="950">
        <f t="shared" ca="1" si="61"/>
        <v>12397003.607500002</v>
      </c>
      <c r="U150" s="950">
        <f t="shared" ca="1" si="61"/>
        <v>12987043.6075</v>
      </c>
      <c r="V150" s="950">
        <f t="shared" ca="1" si="61"/>
        <v>259792823.63924998</v>
      </c>
      <c r="W150" s="824">
        <f t="shared" ca="1" si="49"/>
        <v>0</v>
      </c>
      <c r="X150" s="818"/>
    </row>
    <row r="151" spans="1:24" ht="4.1500000000000004" customHeight="1">
      <c r="A151" s="951"/>
      <c r="I151" s="795"/>
      <c r="J151" s="907"/>
      <c r="K151" s="907"/>
      <c r="L151" s="907"/>
      <c r="M151" s="907"/>
      <c r="N151" s="907"/>
      <c r="O151" s="907"/>
      <c r="P151" s="907"/>
      <c r="Q151" s="907"/>
      <c r="R151" s="907"/>
      <c r="S151" s="907"/>
      <c r="T151" s="907"/>
      <c r="U151" s="907"/>
      <c r="V151" s="838"/>
      <c r="W151" s="824"/>
      <c r="X151" s="818"/>
    </row>
    <row r="152" spans="1:24">
      <c r="A152" s="952" t="s">
        <v>74</v>
      </c>
      <c r="D152" s="953"/>
      <c r="E152" s="954" t="s">
        <v>66</v>
      </c>
      <c r="F152" s="953"/>
      <c r="I152" s="795"/>
      <c r="J152" s="838">
        <f ca="1">SUM(J153:J155)</f>
        <v>15900</v>
      </c>
      <c r="K152" s="838">
        <f t="shared" ref="K152:U152" ca="1" si="62">SUM(K153:K155)</f>
        <v>23705</v>
      </c>
      <c r="L152" s="838">
        <f t="shared" ca="1" si="62"/>
        <v>23705</v>
      </c>
      <c r="M152" s="838">
        <f t="shared" ca="1" si="62"/>
        <v>23705</v>
      </c>
      <c r="N152" s="838">
        <f t="shared" ca="1" si="62"/>
        <v>23705</v>
      </c>
      <c r="O152" s="838">
        <f t="shared" ca="1" si="62"/>
        <v>16705</v>
      </c>
      <c r="P152" s="838">
        <f t="shared" ca="1" si="62"/>
        <v>16705</v>
      </c>
      <c r="Q152" s="838">
        <f t="shared" ca="1" si="62"/>
        <v>16705</v>
      </c>
      <c r="R152" s="838">
        <f t="shared" ca="1" si="62"/>
        <v>16705</v>
      </c>
      <c r="S152" s="838">
        <f t="shared" ca="1" si="62"/>
        <v>16705</v>
      </c>
      <c r="T152" s="838">
        <f t="shared" ca="1" si="62"/>
        <v>16705</v>
      </c>
      <c r="U152" s="838">
        <f t="shared" ca="1" si="62"/>
        <v>16705</v>
      </c>
      <c r="V152" s="838">
        <f t="shared" ref="V152:V155" ca="1" si="63">SUM(J152:U152)</f>
        <v>227655</v>
      </c>
      <c r="W152" s="824">
        <f t="shared" ca="1" si="49"/>
        <v>0</v>
      </c>
      <c r="X152" s="818"/>
    </row>
    <row r="153" spans="1:24">
      <c r="A153" s="951" t="str">
        <f>A53</f>
        <v>Transport</v>
      </c>
      <c r="D153" s="955" t="s">
        <v>1</v>
      </c>
      <c r="E153" s="941">
        <v>0</v>
      </c>
      <c r="F153" s="942" t="s">
        <v>20</v>
      </c>
      <c r="I153" s="795"/>
      <c r="J153" s="907">
        <f ca="1">OFFSET(J53,0,VLOOKUP($E153,CreditDaysT[],2,FALSE))</f>
        <v>15900</v>
      </c>
      <c r="K153" s="907">
        <f ca="1">OFFSET(K53,0,VLOOKUP($E153,CreditDaysT[],2,FALSE))</f>
        <v>15900</v>
      </c>
      <c r="L153" s="907">
        <f ca="1">OFFSET(L53,0,VLOOKUP($E153,CreditDaysT[],2,FALSE))</f>
        <v>15900</v>
      </c>
      <c r="M153" s="907">
        <f ca="1">OFFSET(M53,0,VLOOKUP($E153,CreditDaysT[],2,FALSE))</f>
        <v>15900</v>
      </c>
      <c r="N153" s="907">
        <f ca="1">OFFSET(N53,0,VLOOKUP($E153,CreditDaysT[],2,FALSE))</f>
        <v>15900</v>
      </c>
      <c r="O153" s="907">
        <f ca="1">OFFSET(O53,0,VLOOKUP($E153,CreditDaysT[],2,FALSE))</f>
        <v>8900</v>
      </c>
      <c r="P153" s="907">
        <f ca="1">OFFSET(P53,0,VLOOKUP($E153,CreditDaysT[],2,FALSE))</f>
        <v>8900</v>
      </c>
      <c r="Q153" s="907">
        <f ca="1">OFFSET(Q53,0,VLOOKUP($E153,CreditDaysT[],2,FALSE))</f>
        <v>8900</v>
      </c>
      <c r="R153" s="907">
        <f ca="1">OFFSET(R53,0,VLOOKUP($E153,CreditDaysT[],2,FALSE))</f>
        <v>8900</v>
      </c>
      <c r="S153" s="907">
        <f ca="1">OFFSET(S53,0,VLOOKUP($E153,CreditDaysT[],2,FALSE))</f>
        <v>8900</v>
      </c>
      <c r="T153" s="907">
        <f ca="1">OFFSET(T53,0,VLOOKUP($E153,CreditDaysT[],2,FALSE))</f>
        <v>8900</v>
      </c>
      <c r="U153" s="907">
        <f ca="1">OFFSET(U53,0,VLOOKUP($E153,CreditDaysT[],2,FALSE))</f>
        <v>8900</v>
      </c>
      <c r="V153" s="838">
        <f ca="1">SUM(J153:U153)</f>
        <v>141800</v>
      </c>
      <c r="W153" s="824">
        <f t="shared" ca="1" si="49"/>
        <v>0</v>
      </c>
      <c r="X153" s="818"/>
    </row>
    <row r="154" spans="1:24">
      <c r="A154" s="951" t="str">
        <f>A55</f>
        <v>Storage Cost</v>
      </c>
      <c r="D154" s="955" t="s">
        <v>0</v>
      </c>
      <c r="E154" s="941">
        <v>30</v>
      </c>
      <c r="F154" s="942" t="s">
        <v>20</v>
      </c>
      <c r="I154" s="795"/>
      <c r="J154" s="907">
        <f ca="1">OFFSET(J55,0,VLOOKUP($E154,CreditDaysT[],2,FALSE))</f>
        <v>0</v>
      </c>
      <c r="K154" s="907">
        <f ca="1">OFFSET(K55,0,VLOOKUP($E154,CreditDaysT[],2,FALSE))</f>
        <v>3500</v>
      </c>
      <c r="L154" s="907">
        <f ca="1">OFFSET(L55,0,VLOOKUP($E154,CreditDaysT[],2,FALSE))</f>
        <v>3500</v>
      </c>
      <c r="M154" s="907">
        <f ca="1">OFFSET(M55,0,VLOOKUP($E154,CreditDaysT[],2,FALSE))</f>
        <v>3500</v>
      </c>
      <c r="N154" s="907">
        <f ca="1">OFFSET(N55,0,VLOOKUP($E154,CreditDaysT[],2,FALSE))</f>
        <v>3500</v>
      </c>
      <c r="O154" s="907">
        <f ca="1">OFFSET(O55,0,VLOOKUP($E154,CreditDaysT[],2,FALSE))</f>
        <v>3500</v>
      </c>
      <c r="P154" s="907">
        <f ca="1">OFFSET(P55,0,VLOOKUP($E154,CreditDaysT[],2,FALSE))</f>
        <v>3500</v>
      </c>
      <c r="Q154" s="907">
        <f ca="1">OFFSET(Q55,0,VLOOKUP($E154,CreditDaysT[],2,FALSE))</f>
        <v>3500</v>
      </c>
      <c r="R154" s="907">
        <f ca="1">OFFSET(R55,0,VLOOKUP($E154,CreditDaysT[],2,FALSE))</f>
        <v>3500</v>
      </c>
      <c r="S154" s="907">
        <f ca="1">OFFSET(S55,0,VLOOKUP($E154,CreditDaysT[],2,FALSE))</f>
        <v>3500</v>
      </c>
      <c r="T154" s="907">
        <f ca="1">OFFSET(T55,0,VLOOKUP($E154,CreditDaysT[],2,FALSE))</f>
        <v>3500</v>
      </c>
      <c r="U154" s="907">
        <f ca="1">OFFSET(U55,0,VLOOKUP($E154,CreditDaysT[],2,FALSE))</f>
        <v>3500</v>
      </c>
      <c r="V154" s="838">
        <f t="shared" ca="1" si="63"/>
        <v>38500</v>
      </c>
      <c r="W154" s="824">
        <f t="shared" ca="1" si="49"/>
        <v>0</v>
      </c>
      <c r="X154" s="818"/>
    </row>
    <row r="155" spans="1:24">
      <c r="A155" s="951" t="str">
        <f>A56</f>
        <v>Labour</v>
      </c>
      <c r="D155" s="955" t="s">
        <v>0</v>
      </c>
      <c r="E155" s="941">
        <v>30</v>
      </c>
      <c r="F155" s="942" t="s">
        <v>20</v>
      </c>
      <c r="I155" s="795"/>
      <c r="J155" s="907">
        <f ca="1">OFFSET(J56,0,VLOOKUP($E155,CreditDaysT[],2,FALSE))</f>
        <v>0</v>
      </c>
      <c r="K155" s="907">
        <f ca="1">OFFSET(K56,0,VLOOKUP($E155,CreditDaysT[],2,FALSE))</f>
        <v>4305</v>
      </c>
      <c r="L155" s="907">
        <f ca="1">OFFSET(L56,0,VLOOKUP($E155,CreditDaysT[],2,FALSE))</f>
        <v>4305</v>
      </c>
      <c r="M155" s="907">
        <f ca="1">OFFSET(M56,0,VLOOKUP($E155,CreditDaysT[],2,FALSE))</f>
        <v>4305</v>
      </c>
      <c r="N155" s="907">
        <f ca="1">OFFSET(N56,0,VLOOKUP($E155,CreditDaysT[],2,FALSE))</f>
        <v>4305</v>
      </c>
      <c r="O155" s="907">
        <f ca="1">OFFSET(O56,0,VLOOKUP($E155,CreditDaysT[],2,FALSE))</f>
        <v>4305</v>
      </c>
      <c r="P155" s="907">
        <f ca="1">OFFSET(P56,0,VLOOKUP($E155,CreditDaysT[],2,FALSE))</f>
        <v>4305</v>
      </c>
      <c r="Q155" s="907">
        <f ca="1">OFFSET(Q56,0,VLOOKUP($E155,CreditDaysT[],2,FALSE))</f>
        <v>4305</v>
      </c>
      <c r="R155" s="907">
        <f ca="1">OFFSET(R56,0,VLOOKUP($E155,CreditDaysT[],2,FALSE))</f>
        <v>4305</v>
      </c>
      <c r="S155" s="907">
        <f ca="1">OFFSET(S56,0,VLOOKUP($E155,CreditDaysT[],2,FALSE))</f>
        <v>4305</v>
      </c>
      <c r="T155" s="907">
        <f ca="1">OFFSET(T56,0,VLOOKUP($E155,CreditDaysT[],2,FALSE))</f>
        <v>4305</v>
      </c>
      <c r="U155" s="907">
        <f ca="1">OFFSET(U56,0,VLOOKUP($E155,CreditDaysT[],2,FALSE))</f>
        <v>4305</v>
      </c>
      <c r="V155" s="838">
        <f t="shared" ca="1" si="63"/>
        <v>47355</v>
      </c>
      <c r="W155" s="824">
        <f t="shared" ca="1" si="49"/>
        <v>0</v>
      </c>
      <c r="X155" s="818"/>
    </row>
    <row r="156" spans="1:24" ht="5.45" customHeight="1">
      <c r="A156" s="951"/>
      <c r="E156" s="956"/>
      <c r="I156" s="795"/>
      <c r="J156" s="907"/>
      <c r="K156" s="907"/>
      <c r="L156" s="907"/>
      <c r="M156" s="907"/>
      <c r="N156" s="907"/>
      <c r="O156" s="907"/>
      <c r="P156" s="907"/>
      <c r="Q156" s="907"/>
      <c r="R156" s="907"/>
      <c r="S156" s="907"/>
      <c r="T156" s="907"/>
      <c r="U156" s="907"/>
      <c r="V156" s="838"/>
      <c r="W156" s="824"/>
      <c r="X156" s="818"/>
    </row>
    <row r="157" spans="1:24">
      <c r="A157" s="957" t="s">
        <v>75</v>
      </c>
      <c r="I157" s="795"/>
      <c r="J157" s="838">
        <f ca="1">SUM(J158:J161)</f>
        <v>110520</v>
      </c>
      <c r="K157" s="838">
        <f t="shared" ref="K157:V157" ca="1" si="64">SUM(K158:K161)</f>
        <v>91890</v>
      </c>
      <c r="L157" s="838">
        <f t="shared" ca="1" si="64"/>
        <v>488108.33333333331</v>
      </c>
      <c r="M157" s="838">
        <f t="shared" ca="1" si="64"/>
        <v>373065.73333333328</v>
      </c>
      <c r="N157" s="838">
        <f t="shared" ca="1" si="64"/>
        <v>557000.93333333335</v>
      </c>
      <c r="O157" s="838">
        <f t="shared" ca="1" si="64"/>
        <v>523893.73333333334</v>
      </c>
      <c r="P157" s="838">
        <f t="shared" ca="1" si="64"/>
        <v>388577.93333333335</v>
      </c>
      <c r="Q157" s="838">
        <f t="shared" ca="1" si="64"/>
        <v>367493.33333333337</v>
      </c>
      <c r="R157" s="838">
        <f t="shared" ca="1" si="64"/>
        <v>86890</v>
      </c>
      <c r="S157" s="838">
        <f t="shared" ca="1" si="64"/>
        <v>87835</v>
      </c>
      <c r="T157" s="838">
        <f t="shared" ca="1" si="64"/>
        <v>86890</v>
      </c>
      <c r="U157" s="838">
        <f t="shared" ca="1" si="64"/>
        <v>86890</v>
      </c>
      <c r="V157" s="838">
        <f t="shared" ca="1" si="64"/>
        <v>3249055</v>
      </c>
      <c r="W157" s="824">
        <f t="shared" ca="1" si="49"/>
        <v>0</v>
      </c>
      <c r="X157" s="818"/>
    </row>
    <row r="158" spans="1:24">
      <c r="A158" s="906" t="str">
        <f>A64</f>
        <v>Bank Charge</v>
      </c>
      <c r="C158" s="819"/>
      <c r="D158" s="958"/>
      <c r="E158" s="955" t="s">
        <v>6</v>
      </c>
      <c r="F158" s="942" t="s">
        <v>20</v>
      </c>
      <c r="I158" s="795"/>
      <c r="J158" s="795">
        <f>VLOOKUP($E$158,Ranges!$K$13:$X$17,MATCH(J$5,Ranges!$K$13:$X$13,0),FALSE)</f>
        <v>945</v>
      </c>
      <c r="K158" s="795" cm="1">
        <f t="array" ref="K158">VLOOKUP($E$158,Ranges!$K$13:$X$17,MATCH(K$5,Ranges!$K$13:$X$13,0),FALSE)</f>
        <v>0</v>
      </c>
      <c r="L158" s="795" cm="1">
        <f t="array" ref="L158">VLOOKUP($E$158,Ranges!$K$13:$X$17,MATCH(L$5,Ranges!$K$13:$X$13,0),FALSE)</f>
        <v>0</v>
      </c>
      <c r="M158" s="795" cm="1">
        <f t="array" ref="M158">VLOOKUP($E$158,Ranges!$K$13:$X$17,MATCH(M$5,Ranges!$K$13:$X$13,0),FALSE)</f>
        <v>945</v>
      </c>
      <c r="N158" s="795" cm="1">
        <f t="array" ref="N158">VLOOKUP($E$158,Ranges!$K$13:$X$17,MATCH(N$5,Ranges!$K$13:$X$13,0),FALSE)</f>
        <v>0</v>
      </c>
      <c r="O158" s="795" cm="1">
        <f t="array" ref="O158">VLOOKUP($E$158,Ranges!$K$13:$X$17,MATCH(O$5,Ranges!$K$13:$X$13,0),FALSE)</f>
        <v>0</v>
      </c>
      <c r="P158" s="795" cm="1">
        <f t="array" ref="P158">VLOOKUP($E$158,Ranges!$K$13:$X$17,MATCH(P$5,Ranges!$K$13:$X$13,0),FALSE)</f>
        <v>945</v>
      </c>
      <c r="Q158" s="795" cm="1">
        <f t="array" ref="Q158">VLOOKUP($E$158,Ranges!$K$13:$X$17,MATCH(Q$5,Ranges!$K$13:$X$13,0),FALSE)</f>
        <v>0</v>
      </c>
      <c r="R158" s="795" cm="1">
        <f t="array" ref="R158">VLOOKUP($E$158,Ranges!$K$13:$X$17,MATCH(R$5,Ranges!$K$13:$X$13,0),FALSE)</f>
        <v>0</v>
      </c>
      <c r="S158" s="795" cm="1">
        <f t="array" ref="S158">VLOOKUP($E$158,Ranges!$K$13:$X$17,MATCH(S$5,Ranges!$K$13:$X$13,0),FALSE)</f>
        <v>945</v>
      </c>
      <c r="T158" s="795" cm="1">
        <f t="array" ref="T158">VLOOKUP($E$158,Ranges!$K$13:$X$17,MATCH(T$5,Ranges!$K$13:$X$13,0),FALSE)</f>
        <v>0</v>
      </c>
      <c r="U158" s="795" cm="1">
        <f t="array" ref="U158">VLOOKUP($E$158,Ranges!$K$13:$X$17,MATCH(U$5,Ranges!$K$13:$X$13,0),FALSE)</f>
        <v>0</v>
      </c>
      <c r="V158" s="838">
        <f>SUM(J158:U158)</f>
        <v>3780</v>
      </c>
      <c r="W158" s="824">
        <f t="shared" si="49"/>
        <v>0</v>
      </c>
      <c r="X158" s="818"/>
    </row>
    <row r="159" spans="1:24">
      <c r="A159" s="906" t="str">
        <f>A65</f>
        <v>Electricity Exp</v>
      </c>
      <c r="C159" s="819"/>
      <c r="D159" s="955" t="s">
        <v>1</v>
      </c>
      <c r="E159" s="941">
        <v>30</v>
      </c>
      <c r="F159" s="942" t="s">
        <v>20</v>
      </c>
      <c r="I159" s="795"/>
      <c r="J159" s="907">
        <f ca="1">OFFSET(J65,0,VLOOKUP($E159,CreditDaysT[],2,FALSE))</f>
        <v>0</v>
      </c>
      <c r="K159" s="907">
        <f ca="1">OFFSET(K65,0,VLOOKUP($E159,CreditDaysT[],2,FALSE))</f>
        <v>315</v>
      </c>
      <c r="L159" s="907">
        <f ca="1">OFFSET(L65,0,VLOOKUP($E159,CreditDaysT[],2,FALSE))</f>
        <v>315</v>
      </c>
      <c r="M159" s="907">
        <f ca="1">OFFSET(M65,0,VLOOKUP($E159,CreditDaysT[],2,FALSE))</f>
        <v>315</v>
      </c>
      <c r="N159" s="907">
        <f ca="1">OFFSET(N65,0,VLOOKUP($E159,CreditDaysT[],2,FALSE))</f>
        <v>315</v>
      </c>
      <c r="O159" s="907">
        <f ca="1">OFFSET(O65,0,VLOOKUP($E159,CreditDaysT[],2,FALSE))</f>
        <v>315</v>
      </c>
      <c r="P159" s="907">
        <f ca="1">OFFSET(P65,0,VLOOKUP($E159,CreditDaysT[],2,FALSE))</f>
        <v>315</v>
      </c>
      <c r="Q159" s="907">
        <f ca="1">OFFSET(Q65,0,VLOOKUP($E159,CreditDaysT[],2,FALSE))</f>
        <v>315</v>
      </c>
      <c r="R159" s="907">
        <f ca="1">OFFSET(R65,0,VLOOKUP($E159,CreditDaysT[],2,FALSE))</f>
        <v>315</v>
      </c>
      <c r="S159" s="907">
        <f ca="1">OFFSET(S65,0,VLOOKUP($E159,CreditDaysT[],2,FALSE))</f>
        <v>315</v>
      </c>
      <c r="T159" s="907">
        <f ca="1">OFFSET(T65,0,VLOOKUP($E159,CreditDaysT[],2,FALSE))</f>
        <v>315</v>
      </c>
      <c r="U159" s="907">
        <f ca="1">OFFSET(U65,0,VLOOKUP($E159,CreditDaysT[],2,FALSE))</f>
        <v>315</v>
      </c>
      <c r="V159" s="838">
        <f t="shared" ref="V159" ca="1" si="65">SUM(J159:U159)</f>
        <v>3465</v>
      </c>
      <c r="W159" s="824">
        <f t="shared" ca="1" si="49"/>
        <v>0</v>
      </c>
      <c r="X159" s="818"/>
    </row>
    <row r="160" spans="1:24">
      <c r="A160" s="906" t="s">
        <v>431</v>
      </c>
      <c r="I160" s="795"/>
      <c r="J160" s="795">
        <f>J57</f>
        <v>70850</v>
      </c>
      <c r="K160" s="795">
        <f t="shared" ref="K160:U160" si="66">K57</f>
        <v>52850</v>
      </c>
      <c r="L160" s="795">
        <f t="shared" si="66"/>
        <v>449068.33333333331</v>
      </c>
      <c r="M160" s="795">
        <f t="shared" si="66"/>
        <v>333080.73333333328</v>
      </c>
      <c r="N160" s="795">
        <f t="shared" si="66"/>
        <v>517960.93333333329</v>
      </c>
      <c r="O160" s="795">
        <f t="shared" si="66"/>
        <v>484853.73333333334</v>
      </c>
      <c r="P160" s="795">
        <f t="shared" si="66"/>
        <v>348592.93333333335</v>
      </c>
      <c r="Q160" s="795">
        <f t="shared" si="66"/>
        <v>328453.33333333337</v>
      </c>
      <c r="R160" s="795">
        <f t="shared" si="66"/>
        <v>47850</v>
      </c>
      <c r="S160" s="795">
        <f t="shared" si="66"/>
        <v>47850</v>
      </c>
      <c r="T160" s="795">
        <f t="shared" si="66"/>
        <v>47850</v>
      </c>
      <c r="U160" s="795">
        <f t="shared" si="66"/>
        <v>47850</v>
      </c>
      <c r="V160" s="838">
        <f>SUM(J160:U160)</f>
        <v>2777110</v>
      </c>
      <c r="W160" s="824">
        <f t="shared" si="49"/>
        <v>0</v>
      </c>
      <c r="X160" s="818"/>
    </row>
    <row r="161" spans="1:25">
      <c r="A161" s="906" t="s">
        <v>432</v>
      </c>
      <c r="I161" s="795"/>
      <c r="J161" s="795">
        <f>SUM(J66:J81)</f>
        <v>38725</v>
      </c>
      <c r="K161" s="795">
        <f>SUM(K66:K81)</f>
        <v>38725</v>
      </c>
      <c r="L161" s="795">
        <f t="shared" ref="L161:U161" si="67">SUM(L66:L81)</f>
        <v>38725</v>
      </c>
      <c r="M161" s="795">
        <f t="shared" si="67"/>
        <v>38725</v>
      </c>
      <c r="N161" s="795">
        <f t="shared" si="67"/>
        <v>38725</v>
      </c>
      <c r="O161" s="795">
        <f t="shared" si="67"/>
        <v>38725</v>
      </c>
      <c r="P161" s="795">
        <f t="shared" si="67"/>
        <v>38725</v>
      </c>
      <c r="Q161" s="795">
        <f t="shared" si="67"/>
        <v>38725</v>
      </c>
      <c r="R161" s="795">
        <f t="shared" si="67"/>
        <v>38725</v>
      </c>
      <c r="S161" s="795">
        <f t="shared" si="67"/>
        <v>38725</v>
      </c>
      <c r="T161" s="795">
        <f t="shared" si="67"/>
        <v>38725</v>
      </c>
      <c r="U161" s="795">
        <f t="shared" si="67"/>
        <v>38725</v>
      </c>
      <c r="V161" s="838">
        <f>SUM(J161:U161)</f>
        <v>464700</v>
      </c>
      <c r="W161" s="824">
        <f t="shared" si="49"/>
        <v>0</v>
      </c>
      <c r="X161" s="818"/>
    </row>
    <row r="162" spans="1:25" ht="5.45" customHeight="1">
      <c r="A162" s="951"/>
      <c r="I162" s="795"/>
      <c r="J162" s="907"/>
      <c r="K162" s="907"/>
      <c r="L162" s="907"/>
      <c r="M162" s="907"/>
      <c r="N162" s="907"/>
      <c r="O162" s="907"/>
      <c r="P162" s="907"/>
      <c r="Q162" s="907"/>
      <c r="R162" s="907"/>
      <c r="S162" s="907"/>
      <c r="T162" s="907"/>
      <c r="U162" s="907"/>
      <c r="V162" s="838"/>
      <c r="W162" s="824"/>
      <c r="X162" s="818"/>
    </row>
    <row r="163" spans="1:25">
      <c r="A163" s="957" t="s">
        <v>76</v>
      </c>
      <c r="I163" s="795"/>
      <c r="J163" s="838"/>
      <c r="K163" s="838"/>
      <c r="L163" s="838"/>
      <c r="M163" s="838"/>
      <c r="N163" s="838"/>
      <c r="O163" s="838"/>
      <c r="P163" s="838"/>
      <c r="Q163" s="838"/>
      <c r="R163" s="838"/>
      <c r="S163" s="838"/>
      <c r="T163" s="838"/>
      <c r="U163" s="838"/>
      <c r="V163" s="838"/>
      <c r="W163" s="824"/>
      <c r="X163" s="818"/>
    </row>
    <row r="164" spans="1:25">
      <c r="A164" s="959" t="s">
        <v>77</v>
      </c>
      <c r="B164" s="960"/>
      <c r="C164" s="960"/>
      <c r="D164" s="960"/>
      <c r="E164" s="960"/>
      <c r="F164" s="960"/>
      <c r="G164" s="960"/>
      <c r="H164" s="960"/>
      <c r="I164" s="961"/>
      <c r="J164" s="961">
        <f>J85</f>
        <v>150</v>
      </c>
      <c r="K164" s="961">
        <f t="shared" ref="K164:U164" si="68">K85</f>
        <v>146.10046132824365</v>
      </c>
      <c r="L164" s="961">
        <f t="shared" si="68"/>
        <v>142.18629938646825</v>
      </c>
      <c r="M164" s="961">
        <f t="shared" si="68"/>
        <v>138.25745933741118</v>
      </c>
      <c r="N164" s="961">
        <f t="shared" si="68"/>
        <v>134.31388613817012</v>
      </c>
      <c r="O164" s="961">
        <f t="shared" si="68"/>
        <v>130.35552453943191</v>
      </c>
      <c r="P164" s="961">
        <f t="shared" si="68"/>
        <v>126.38231908469845</v>
      </c>
      <c r="Q164" s="961">
        <f t="shared" si="68"/>
        <v>122.39421410950973</v>
      </c>
      <c r="R164" s="961">
        <f t="shared" si="68"/>
        <v>118.39115374066405</v>
      </c>
      <c r="S164" s="961">
        <f t="shared" si="68"/>
        <v>114.37308189543522</v>
      </c>
      <c r="T164" s="961">
        <f t="shared" si="68"/>
        <v>110.33994228078676</v>
      </c>
      <c r="U164" s="961">
        <f t="shared" si="68"/>
        <v>106.29167839258336</v>
      </c>
      <c r="V164" s="961">
        <f>SUM(J164:U164)</f>
        <v>1539.3860202334029</v>
      </c>
      <c r="W164" s="824">
        <f t="shared" ref="W164" si="69">SUM(J164:V164)/2-V164</f>
        <v>0</v>
      </c>
      <c r="X164" s="818"/>
      <c r="Y164" s="911"/>
    </row>
    <row r="165" spans="1:25" ht="13.5" thickBot="1">
      <c r="A165" s="962" t="s">
        <v>78</v>
      </c>
      <c r="B165" s="963"/>
      <c r="C165" s="963"/>
      <c r="D165" s="963"/>
      <c r="E165" s="963"/>
      <c r="F165" s="963"/>
      <c r="G165" s="963"/>
      <c r="H165" s="963"/>
      <c r="I165" s="964"/>
      <c r="J165" s="965">
        <f ca="1">SUM(J152,J157,J164,J150)</f>
        <v>17316972.421499997</v>
      </c>
      <c r="K165" s="965">
        <f t="shared" ref="K165:V165" ca="1" si="70">SUM(K152,K157,K164,K150)</f>
        <v>19216278.199461326</v>
      </c>
      <c r="L165" s="965">
        <f t="shared" ca="1" si="70"/>
        <v>20892559.942632716</v>
      </c>
      <c r="M165" s="965">
        <f t="shared" ca="1" si="70"/>
        <v>22360874.048292667</v>
      </c>
      <c r="N165" s="965">
        <f t="shared" ca="1" si="70"/>
        <v>32663940.262219474</v>
      </c>
      <c r="O165" s="965">
        <f t="shared" ca="1" si="70"/>
        <v>36423874.78635788</v>
      </c>
      <c r="P165" s="965">
        <f t="shared" ca="1" si="70"/>
        <v>27992322.225652419</v>
      </c>
      <c r="Q165" s="965">
        <f t="shared" ca="1" si="70"/>
        <v>27866945.152547441</v>
      </c>
      <c r="R165" s="965">
        <f t="shared" ca="1" si="70"/>
        <v>11198864.749403737</v>
      </c>
      <c r="S165" s="965">
        <f t="shared" ca="1" si="70"/>
        <v>21746987.390581898</v>
      </c>
      <c r="T165" s="965">
        <f t="shared" ca="1" si="70"/>
        <v>12500708.947442282</v>
      </c>
      <c r="U165" s="965">
        <f t="shared" ca="1" si="70"/>
        <v>13090744.899178393</v>
      </c>
      <c r="V165" s="965">
        <f t="shared" ca="1" si="70"/>
        <v>263271073.02527022</v>
      </c>
      <c r="W165" s="824"/>
      <c r="X165" s="818"/>
    </row>
    <row r="166" spans="1:25" ht="13.5" thickTop="1">
      <c r="A166" s="966" t="s">
        <v>79</v>
      </c>
      <c r="B166" s="967"/>
      <c r="C166" s="967"/>
      <c r="D166" s="967"/>
      <c r="E166" s="967"/>
      <c r="F166" s="967"/>
      <c r="G166" s="967"/>
      <c r="H166" s="967"/>
      <c r="I166" s="968"/>
      <c r="J166" s="968">
        <f ca="1">J122-J165</f>
        <v>2556919.6074537374</v>
      </c>
      <c r="K166" s="968">
        <f t="shared" ref="K166:V166" ca="1" si="71">K122-K165</f>
        <v>4590370.9275487661</v>
      </c>
      <c r="L166" s="968">
        <f t="shared" ca="1" si="71"/>
        <v>3873751.5913242511</v>
      </c>
      <c r="M166" s="968">
        <f t="shared" ca="1" si="71"/>
        <v>2218128.6078968942</v>
      </c>
      <c r="N166" s="968">
        <f t="shared" ca="1" si="71"/>
        <v>3169980.4337821901</v>
      </c>
      <c r="O166" s="968">
        <f t="shared" ca="1" si="71"/>
        <v>5319613.4902019054</v>
      </c>
      <c r="P166" s="968">
        <f t="shared" ca="1" si="71"/>
        <v>6207672.5935636386</v>
      </c>
      <c r="Q166" s="968">
        <f t="shared" ca="1" si="71"/>
        <v>5601770.1388476379</v>
      </c>
      <c r="R166" s="968">
        <f t="shared" ca="1" si="71"/>
        <v>4192214.3437433485</v>
      </c>
      <c r="S166" s="968">
        <f t="shared" ca="1" si="71"/>
        <v>1718995.2418603003</v>
      </c>
      <c r="T166" s="968">
        <f t="shared" ca="1" si="71"/>
        <v>2312854.9774912018</v>
      </c>
      <c r="U166" s="968">
        <f t="shared" ca="1" si="71"/>
        <v>3293995.8531500585</v>
      </c>
      <c r="V166" s="968">
        <f t="shared" ca="1" si="71"/>
        <v>45056267.806863904</v>
      </c>
      <c r="W166" s="824">
        <f t="shared" ref="W166" ca="1" si="72">SUM(J166:V166)/2-V166</f>
        <v>0</v>
      </c>
      <c r="X166" s="818"/>
    </row>
    <row r="167" spans="1:25" ht="15" customHeight="1">
      <c r="A167" s="969" t="s">
        <v>80</v>
      </c>
      <c r="B167" s="970"/>
      <c r="C167" s="970"/>
      <c r="D167" s="970"/>
      <c r="E167" s="970"/>
      <c r="F167" s="970"/>
      <c r="G167" s="970"/>
      <c r="H167" s="970"/>
      <c r="I167" s="971"/>
      <c r="J167" s="972">
        <f ca="1">J166/J91</f>
        <v>0.68722502079960113</v>
      </c>
      <c r="K167" s="972">
        <f t="shared" ref="K167:V167" ca="1" si="73">K166/K91</f>
        <v>1.1539060053412815</v>
      </c>
      <c r="L167" s="972">
        <f t="shared" ca="1" si="73"/>
        <v>1.4482807806459164</v>
      </c>
      <c r="M167" s="972">
        <f t="shared" ca="1" si="73"/>
        <v>1.4457939942342348</v>
      </c>
      <c r="N167" s="972">
        <f t="shared" ca="1" si="73"/>
        <v>1.0306398220510156</v>
      </c>
      <c r="O167" s="972">
        <f t="shared" ca="1" si="73"/>
        <v>1.260059702113733</v>
      </c>
      <c r="P167" s="972">
        <f t="shared" ca="1" si="73"/>
        <v>1.489715593244008</v>
      </c>
      <c r="Q167" s="972">
        <f t="shared" ca="1" si="73"/>
        <v>1.3938300410216742</v>
      </c>
      <c r="R167" s="972">
        <f t="shared" ca="1" si="73"/>
        <v>2.2591602447571217</v>
      </c>
      <c r="S167" s="972">
        <f t="shared" ca="1" si="73"/>
        <v>0.84008402625878431</v>
      </c>
      <c r="T167" s="972">
        <f t="shared" ca="1" si="73"/>
        <v>2.8932116444902838</v>
      </c>
      <c r="U167" s="972">
        <f t="shared" ca="1" si="73"/>
        <v>1.13661187533037</v>
      </c>
      <c r="V167" s="972">
        <f t="shared" ca="1" si="73"/>
        <v>1.192987359262677</v>
      </c>
      <c r="X167" s="818"/>
    </row>
    <row r="168" spans="1:25" ht="6" customHeight="1">
      <c r="A168" s="973"/>
      <c r="I168" s="795"/>
      <c r="J168" s="795"/>
      <c r="K168" s="795"/>
      <c r="L168" s="795"/>
      <c r="M168" s="795"/>
      <c r="N168" s="795"/>
      <c r="O168" s="795"/>
      <c r="P168" s="795"/>
      <c r="Q168" s="795"/>
      <c r="R168" s="795"/>
      <c r="S168" s="795"/>
      <c r="T168" s="795"/>
      <c r="U168" s="795"/>
      <c r="V168" s="974"/>
      <c r="X168" s="818"/>
    </row>
    <row r="169" spans="1:25">
      <c r="A169" s="906" t="s">
        <v>82</v>
      </c>
      <c r="I169" s="795"/>
      <c r="J169" s="795"/>
      <c r="K169" s="795"/>
      <c r="L169" s="795"/>
      <c r="M169" s="795"/>
      <c r="N169" s="795"/>
      <c r="O169" s="795"/>
      <c r="P169" s="795"/>
      <c r="Q169" s="795"/>
      <c r="R169" s="795"/>
      <c r="S169" s="795"/>
      <c r="T169" s="795"/>
      <c r="U169" s="795"/>
      <c r="V169" s="838">
        <f>SUM(J169:U169)</f>
        <v>0</v>
      </c>
      <c r="W169" s="824">
        <f t="shared" ref="W169:W176" si="74">SUM(J169:V169)/2-V169</f>
        <v>0</v>
      </c>
      <c r="X169" s="818"/>
      <c r="Y169" s="911"/>
    </row>
    <row r="170" spans="1:25">
      <c r="A170" s="906" t="s">
        <v>81</v>
      </c>
      <c r="I170" s="795"/>
      <c r="J170" s="795"/>
      <c r="K170" s="795"/>
      <c r="L170" s="795"/>
      <c r="M170" s="795"/>
      <c r="N170" s="795"/>
      <c r="O170" s="795"/>
      <c r="P170" s="795"/>
      <c r="Q170" s="795"/>
      <c r="R170" s="795"/>
      <c r="S170" s="795"/>
      <c r="T170" s="795"/>
      <c r="U170" s="795"/>
      <c r="V170" s="838">
        <f>SUM(J170:U170)</f>
        <v>0</v>
      </c>
      <c r="W170" s="824">
        <f t="shared" si="74"/>
        <v>0</v>
      </c>
      <c r="X170" s="818"/>
      <c r="Y170" s="911"/>
    </row>
    <row r="171" spans="1:25">
      <c r="A171" s="906" t="s">
        <v>83</v>
      </c>
      <c r="I171" s="795"/>
      <c r="J171" s="795"/>
      <c r="K171" s="795"/>
      <c r="L171" s="795"/>
      <c r="M171" s="795"/>
      <c r="N171" s="795"/>
      <c r="O171" s="795"/>
      <c r="P171" s="795"/>
      <c r="Q171" s="795"/>
      <c r="R171" s="795"/>
      <c r="S171" s="795"/>
      <c r="T171" s="795"/>
      <c r="U171" s="795"/>
      <c r="V171" s="838">
        <f>SUM(J171:U171)</f>
        <v>0</v>
      </c>
      <c r="W171" s="824">
        <f t="shared" si="74"/>
        <v>0</v>
      </c>
      <c r="X171" s="818"/>
      <c r="Y171" s="911"/>
    </row>
    <row r="172" spans="1:25">
      <c r="A172" s="906"/>
      <c r="I172" s="795"/>
      <c r="J172" s="795"/>
      <c r="K172" s="795"/>
      <c r="L172" s="795"/>
      <c r="M172" s="795"/>
      <c r="N172" s="795"/>
      <c r="O172" s="795"/>
      <c r="P172" s="795"/>
      <c r="Q172" s="795"/>
      <c r="R172" s="795"/>
      <c r="S172" s="795"/>
      <c r="T172" s="795"/>
      <c r="U172" s="795"/>
      <c r="V172" s="838"/>
      <c r="W172" s="824"/>
      <c r="X172" s="818"/>
    </row>
    <row r="173" spans="1:25">
      <c r="A173" s="975" t="s">
        <v>84</v>
      </c>
      <c r="B173" s="976"/>
      <c r="C173" s="976"/>
      <c r="D173" s="976"/>
      <c r="E173" s="976"/>
      <c r="F173" s="976"/>
      <c r="G173" s="976"/>
      <c r="H173" s="977"/>
      <c r="I173" s="977"/>
      <c r="J173" s="977"/>
      <c r="K173" s="977"/>
      <c r="L173" s="977"/>
      <c r="M173" s="977"/>
      <c r="N173" s="977"/>
      <c r="O173" s="977"/>
      <c r="P173" s="977"/>
      <c r="Q173" s="977"/>
      <c r="R173" s="977"/>
      <c r="S173" s="977"/>
      <c r="T173" s="977"/>
      <c r="U173" s="977"/>
      <c r="V173" s="977">
        <f>SUM(J173:U173)</f>
        <v>0</v>
      </c>
      <c r="W173" s="824">
        <f t="shared" si="74"/>
        <v>0</v>
      </c>
      <c r="X173" s="818"/>
    </row>
    <row r="174" spans="1:25">
      <c r="A174" s="978" t="s">
        <v>85</v>
      </c>
      <c r="B174" s="953"/>
      <c r="C174" s="953"/>
      <c r="D174" s="953"/>
      <c r="E174" s="953"/>
      <c r="F174" s="953"/>
      <c r="G174" s="953"/>
      <c r="H174" s="953"/>
      <c r="I174" s="979"/>
      <c r="J174" s="979"/>
      <c r="K174" s="979"/>
      <c r="L174" s="979"/>
      <c r="M174" s="979"/>
      <c r="N174" s="979"/>
      <c r="O174" s="979"/>
      <c r="P174" s="979"/>
      <c r="Q174" s="979"/>
      <c r="R174" s="979"/>
      <c r="S174" s="979"/>
      <c r="T174" s="979"/>
      <c r="U174" s="979"/>
      <c r="V174" s="980">
        <f t="shared" ref="V174:V175" si="75">SUM(J174:U174)</f>
        <v>0</v>
      </c>
      <c r="W174" s="824">
        <f t="shared" si="74"/>
        <v>0</v>
      </c>
      <c r="X174" s="818"/>
    </row>
    <row r="175" spans="1:25" ht="13.5" thickBot="1">
      <c r="A175" s="978" t="s">
        <v>86</v>
      </c>
      <c r="B175" s="953"/>
      <c r="C175" s="953"/>
      <c r="D175" s="953"/>
      <c r="E175" s="953"/>
      <c r="F175" s="953"/>
      <c r="G175" s="953"/>
      <c r="H175" s="953"/>
      <c r="I175" s="979"/>
      <c r="J175" s="979"/>
      <c r="K175" s="979"/>
      <c r="L175" s="979"/>
      <c r="M175" s="979"/>
      <c r="N175" s="979"/>
      <c r="O175" s="979"/>
      <c r="P175" s="979"/>
      <c r="Q175" s="979"/>
      <c r="R175" s="979"/>
      <c r="S175" s="979"/>
      <c r="T175" s="979"/>
      <c r="U175" s="979"/>
      <c r="V175" s="980">
        <f t="shared" si="75"/>
        <v>0</v>
      </c>
      <c r="W175" s="824">
        <f t="shared" si="74"/>
        <v>0</v>
      </c>
      <c r="X175" s="818"/>
    </row>
    <row r="176" spans="1:25" ht="13.5" thickTop="1">
      <c r="A176" s="967" t="s">
        <v>87</v>
      </c>
      <c r="B176" s="967"/>
      <c r="C176" s="967"/>
      <c r="D176" s="967"/>
      <c r="E176" s="967"/>
      <c r="F176" s="967"/>
      <c r="G176" s="967"/>
      <c r="H176" s="968"/>
      <c r="I176" s="968"/>
      <c r="J176" s="968">
        <f ca="1">SUM(J166,J169:J175)</f>
        <v>2556919.6074537374</v>
      </c>
      <c r="K176" s="968">
        <f t="shared" ref="K176:V176" ca="1" si="76">SUM(K166,K169:K175)</f>
        <v>4590370.9275487661</v>
      </c>
      <c r="L176" s="968">
        <f t="shared" ca="1" si="76"/>
        <v>3873751.5913242511</v>
      </c>
      <c r="M176" s="968">
        <f t="shared" ca="1" si="76"/>
        <v>2218128.6078968942</v>
      </c>
      <c r="N176" s="968">
        <f t="shared" ca="1" si="76"/>
        <v>3169980.4337821901</v>
      </c>
      <c r="O176" s="968">
        <f t="shared" ca="1" si="76"/>
        <v>5319613.4902019054</v>
      </c>
      <c r="P176" s="968">
        <f t="shared" ca="1" si="76"/>
        <v>6207672.5935636386</v>
      </c>
      <c r="Q176" s="968">
        <f t="shared" ca="1" si="76"/>
        <v>5601770.1388476379</v>
      </c>
      <c r="R176" s="968">
        <f t="shared" ca="1" si="76"/>
        <v>4192214.3437433485</v>
      </c>
      <c r="S176" s="968">
        <f t="shared" ca="1" si="76"/>
        <v>1718995.2418603003</v>
      </c>
      <c r="T176" s="968">
        <f t="shared" ca="1" si="76"/>
        <v>2312854.9774912018</v>
      </c>
      <c r="U176" s="968">
        <f t="shared" ca="1" si="76"/>
        <v>3293995.8531500585</v>
      </c>
      <c r="V176" s="968">
        <f t="shared" ca="1" si="76"/>
        <v>45056267.806863904</v>
      </c>
      <c r="W176" s="824">
        <f t="shared" ca="1" si="74"/>
        <v>0</v>
      </c>
      <c r="X176" s="818"/>
    </row>
    <row r="177" spans="1:24" ht="8.25" customHeight="1">
      <c r="I177" s="795"/>
      <c r="J177" s="795"/>
      <c r="K177" s="795"/>
      <c r="L177" s="795"/>
      <c r="M177" s="795"/>
      <c r="N177" s="795"/>
      <c r="O177" s="795"/>
      <c r="P177" s="795"/>
      <c r="Q177" s="795"/>
      <c r="R177" s="795"/>
      <c r="S177" s="795"/>
      <c r="T177" s="795"/>
      <c r="U177" s="795"/>
      <c r="V177" s="795"/>
      <c r="X177" s="818"/>
    </row>
    <row r="178" spans="1:24">
      <c r="A178" s="981" t="s">
        <v>89</v>
      </c>
      <c r="B178" s="981"/>
      <c r="C178" s="981"/>
      <c r="D178" s="981"/>
      <c r="E178" s="981"/>
      <c r="F178" s="981"/>
      <c r="G178" s="981"/>
      <c r="H178" s="981"/>
      <c r="I178" s="982">
        <f>-I169+I23</f>
        <v>0</v>
      </c>
      <c r="J178" s="983">
        <f>I179</f>
        <v>0</v>
      </c>
      <c r="K178" s="983">
        <f t="shared" ref="K178:U178" ca="1" si="77">J179</f>
        <v>2556919.6074537374</v>
      </c>
      <c r="L178" s="983">
        <f t="shared" ca="1" si="77"/>
        <v>7147290.5350025035</v>
      </c>
      <c r="M178" s="983">
        <f t="shared" ca="1" si="77"/>
        <v>11021042.126326755</v>
      </c>
      <c r="N178" s="983">
        <f t="shared" ca="1" si="77"/>
        <v>13239170.734223649</v>
      </c>
      <c r="O178" s="983">
        <f t="shared" ca="1" si="77"/>
        <v>16409151.168005839</v>
      </c>
      <c r="P178" s="983">
        <f t="shared" ca="1" si="77"/>
        <v>21728764.658207744</v>
      </c>
      <c r="Q178" s="983">
        <f t="shared" ca="1" si="77"/>
        <v>27936437.251771383</v>
      </c>
      <c r="R178" s="983">
        <f t="shared" ca="1" si="77"/>
        <v>33538207.390619021</v>
      </c>
      <c r="S178" s="983">
        <f t="shared" ca="1" si="77"/>
        <v>37730421.734362371</v>
      </c>
      <c r="T178" s="983">
        <f t="shared" ca="1" si="77"/>
        <v>39449416.976222672</v>
      </c>
      <c r="U178" s="983">
        <f t="shared" ca="1" si="77"/>
        <v>41762271.953713872</v>
      </c>
      <c r="V178" s="983">
        <f>I178</f>
        <v>0</v>
      </c>
      <c r="W178" s="824"/>
      <c r="X178" s="818"/>
    </row>
    <row r="179" spans="1:24" ht="13.5" thickBot="1">
      <c r="A179" s="984" t="s">
        <v>88</v>
      </c>
      <c r="B179" s="984"/>
      <c r="C179" s="984"/>
      <c r="D179" s="984"/>
      <c r="E179" s="984"/>
      <c r="F179" s="984"/>
      <c r="G179" s="984"/>
      <c r="H179" s="984"/>
      <c r="I179" s="985">
        <f>I178+I169-I23</f>
        <v>0</v>
      </c>
      <c r="J179" s="985">
        <f ca="1">J178+J176</f>
        <v>2556919.6074537374</v>
      </c>
      <c r="K179" s="985">
        <f t="shared" ref="K179:U179" ca="1" si="78">K178+K176</f>
        <v>7147290.5350025035</v>
      </c>
      <c r="L179" s="985">
        <f t="shared" ca="1" si="78"/>
        <v>11021042.126326755</v>
      </c>
      <c r="M179" s="985">
        <f t="shared" ca="1" si="78"/>
        <v>13239170.734223649</v>
      </c>
      <c r="N179" s="985">
        <f t="shared" ca="1" si="78"/>
        <v>16409151.168005839</v>
      </c>
      <c r="O179" s="985">
        <f t="shared" ca="1" si="78"/>
        <v>21728764.658207744</v>
      </c>
      <c r="P179" s="985">
        <f t="shared" ca="1" si="78"/>
        <v>27936437.251771383</v>
      </c>
      <c r="Q179" s="985">
        <f t="shared" ca="1" si="78"/>
        <v>33538207.390619021</v>
      </c>
      <c r="R179" s="985">
        <f t="shared" ca="1" si="78"/>
        <v>37730421.734362371</v>
      </c>
      <c r="S179" s="985">
        <f t="shared" ca="1" si="78"/>
        <v>39449416.976222672</v>
      </c>
      <c r="T179" s="985">
        <f t="shared" ca="1" si="78"/>
        <v>41762271.953713872</v>
      </c>
      <c r="U179" s="985">
        <f t="shared" ca="1" si="78"/>
        <v>45056267.806863934</v>
      </c>
      <c r="V179" s="985">
        <f ca="1">U179</f>
        <v>45056267.806863934</v>
      </c>
      <c r="W179" s="824"/>
      <c r="X179" s="818"/>
    </row>
    <row r="180" spans="1:24">
      <c r="A180" s="986"/>
      <c r="B180" s="986"/>
      <c r="C180" s="986"/>
      <c r="D180" s="986"/>
      <c r="E180" s="986"/>
      <c r="F180" s="986"/>
      <c r="G180" s="986"/>
      <c r="H180" s="986"/>
      <c r="I180" s="987"/>
      <c r="J180" s="987"/>
      <c r="K180" s="987"/>
      <c r="L180" s="987"/>
      <c r="M180" s="987"/>
      <c r="N180" s="987"/>
      <c r="O180" s="987"/>
      <c r="P180" s="987"/>
      <c r="Q180" s="987"/>
      <c r="R180" s="987"/>
      <c r="S180" s="987"/>
      <c r="T180" s="987"/>
      <c r="U180" s="987"/>
      <c r="V180" s="987"/>
      <c r="W180" s="824"/>
      <c r="X180" s="818"/>
    </row>
    <row r="181" spans="1:24">
      <c r="I181" s="795"/>
      <c r="J181" s="795"/>
      <c r="K181" s="988"/>
      <c r="L181" s="795"/>
      <c r="M181" s="795"/>
      <c r="N181" s="795"/>
      <c r="O181" s="795"/>
      <c r="P181" s="795"/>
      <c r="Q181" s="795"/>
      <c r="R181" s="795"/>
      <c r="S181" s="795"/>
      <c r="T181" s="795"/>
      <c r="U181" s="795"/>
      <c r="V181" s="795"/>
      <c r="X181" s="818"/>
    </row>
  </sheetData>
  <sheetProtection algorithmName="SHA-512" hashValue="UZAa+YyLYUfUtt5Fct0I1s2N+3bJrqNOsiD6JuPg61Gyo2HhZAucmIerKSe7/etOvddJOxqDP0aCOSKz6lHNBQ==" saltValue="F5Tn0KoXcR2tep0OzSLQFQ==" spinCount="100000" sheet="1" objects="1" scenarios="1"/>
  <mergeCells count="3">
    <mergeCell ref="H15:H19"/>
    <mergeCell ref="H96:H100"/>
    <mergeCell ref="H124:H128"/>
  </mergeCells>
  <dataValidations count="4">
    <dataValidation type="list" allowBlank="1" showInputMessage="1" showErrorMessage="1" sqref="E158" xr:uid="{FF8F268B-A080-4CD4-A93F-FA5CD667CEBE}">
      <formula1>Frequency</formula1>
    </dataValidation>
    <dataValidation type="list" allowBlank="1" showInputMessage="1" showErrorMessage="1" sqref="D153:D155 D159" xr:uid="{55ACB390-29FC-4C42-8F22-320B9E6D175F}">
      <formula1>PaymentT</formula1>
    </dataValidation>
    <dataValidation type="list" allowBlank="1" showInputMessage="1" showErrorMessage="1" sqref="E109:E113 E137:E141 E153:E155 E159" xr:uid="{DD11569F-6234-4262-8A06-A53D3E66E936}">
      <formula1>Credit_days</formula1>
    </dataValidation>
    <dataValidation type="list" allowBlank="1" showInputMessage="1" showErrorMessage="1" sqref="E45:E49" xr:uid="{29B43D62-DBE6-483C-A4E6-F9F83E7C4538}">
      <formula1>GP_Growth</formula1>
    </dataValidation>
  </dataValidations>
  <pageMargins left="0.25" right="0.25" top="0.75" bottom="0.75" header="0.3" footer="0.3"/>
  <pageSetup paperSize="9" scale="80" orientation="landscape" r:id="rId1"/>
  <rowBreaks count="2" manualBreakCount="2">
    <brk id="92" max="16383" man="1"/>
    <brk id="150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Drop Down 1">
              <controlPr defaultSize="0" autoLine="0" autoPict="0">
                <anchor moveWithCells="1">
                  <from>
                    <xdr:col>1</xdr:col>
                    <xdr:colOff>857250</xdr:colOff>
                    <xdr:row>103</xdr:row>
                    <xdr:rowOff>19050</xdr:rowOff>
                  </from>
                  <to>
                    <xdr:col>3</xdr:col>
                    <xdr:colOff>257175</xdr:colOff>
                    <xdr:row>103</xdr:row>
                    <xdr:rowOff>200025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123D3107-9DDE-4980-8B9F-E2F15CE779E8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5</xm:f>
              </x14:cfvo>
              <x14:cfIcon iconSet="3Symbols2" iconId="2"/>
              <x14:cfIcon iconSet="3Symbols2" iconId="2"/>
              <x14:cfIcon iconSet="3Symbols2" iconId="0"/>
            </x14:iconSet>
          </x14:cfRule>
          <xm:sqref>J2</xm:sqref>
        </x14:conditionalFormatting>
        <x14:conditionalFormatting xmlns:xm="http://schemas.microsoft.com/office/excel/2006/main">
          <x14:cfRule type="iconSet" priority="1" id="{ECE4F6C8-D35C-4610-9D56-1F0D8EFBF544}">
            <x14:iconSet iconSet="3Symbols2" custom="1">
              <x14:cfvo type="percent">
                <xm:f>0</xm:f>
              </x14:cfvo>
              <x14:cfvo type="num">
                <xm:f>10</xm:f>
              </x14:cfvo>
              <x14:cfvo type="num">
                <xm:f>10</xm:f>
              </x14:cfvo>
              <x14:cfIcon iconSet="3Symbols2" iconId="2"/>
              <x14:cfIcon iconSet="3Symbols2" iconId="2"/>
              <x14:cfIcon iconSet="3Symbols2" iconId="0"/>
            </x14:iconSet>
          </x14:cfRule>
          <xm:sqref>K2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E5845-4FB6-4F67-B5A9-AF9305AE40C8}">
  <dimension ref="C4:R32"/>
  <sheetViews>
    <sheetView workbookViewId="0">
      <selection activeCell="E8" sqref="E8"/>
    </sheetView>
  </sheetViews>
  <sheetFormatPr defaultRowHeight="12.75"/>
  <cols>
    <col min="4" max="4" width="13.85546875" customWidth="1"/>
    <col min="5" max="6" width="13.140625" customWidth="1"/>
    <col min="7" max="7" width="13.42578125" customWidth="1"/>
    <col min="8" max="9" width="14.42578125" customWidth="1"/>
    <col min="10" max="10" width="14" customWidth="1"/>
    <col min="11" max="12" width="13" customWidth="1"/>
    <col min="13" max="13" width="12.5703125" customWidth="1"/>
    <col min="14" max="14" width="13.28515625" customWidth="1"/>
    <col min="16" max="17" width="10.42578125" bestFit="1" customWidth="1"/>
  </cols>
  <sheetData>
    <row r="4" spans="3:15" ht="13.5" thickBot="1"/>
    <row r="5" spans="3:15" ht="13.5" thickBot="1">
      <c r="C5" s="1204" t="s">
        <v>458</v>
      </c>
      <c r="D5" s="1205"/>
      <c r="E5" s="1205"/>
      <c r="F5" s="1205"/>
      <c r="G5" s="1205"/>
      <c r="H5" s="1205"/>
      <c r="I5" s="1205"/>
      <c r="J5" s="1205"/>
      <c r="K5" s="1205"/>
      <c r="L5" s="1205"/>
      <c r="M5" s="1205"/>
      <c r="N5" s="1205"/>
      <c r="O5" s="1206"/>
    </row>
    <row r="6" spans="3:15" ht="13.5" thickBot="1">
      <c r="C6" s="674"/>
      <c r="D6" s="1209" t="s">
        <v>243</v>
      </c>
      <c r="E6" s="1210"/>
      <c r="F6" s="1211"/>
      <c r="G6" s="1209" t="s">
        <v>244</v>
      </c>
      <c r="H6" s="1210"/>
      <c r="I6" s="1211"/>
      <c r="J6" s="1209" t="s">
        <v>245</v>
      </c>
      <c r="K6" s="1210"/>
      <c r="L6" s="1211"/>
      <c r="M6" s="1212" t="s">
        <v>246</v>
      </c>
      <c r="N6" s="1210"/>
      <c r="O6" s="1211"/>
    </row>
    <row r="7" spans="3:15" ht="13.5" thickBot="1">
      <c r="C7" s="674" t="s">
        <v>451</v>
      </c>
      <c r="D7" s="675" t="s">
        <v>452</v>
      </c>
      <c r="E7" s="676" t="s">
        <v>453</v>
      </c>
      <c r="F7" s="677" t="s">
        <v>455</v>
      </c>
      <c r="G7" s="675" t="s">
        <v>452</v>
      </c>
      <c r="H7" s="676" t="s">
        <v>453</v>
      </c>
      <c r="I7" s="677" t="s">
        <v>455</v>
      </c>
      <c r="J7" s="675" t="s">
        <v>452</v>
      </c>
      <c r="K7" s="676" t="s">
        <v>453</v>
      </c>
      <c r="L7" s="677" t="s">
        <v>455</v>
      </c>
      <c r="M7" s="678" t="s">
        <v>452</v>
      </c>
      <c r="N7" s="676" t="s">
        <v>453</v>
      </c>
      <c r="O7" s="677" t="s">
        <v>455</v>
      </c>
    </row>
    <row r="8" spans="3:15">
      <c r="C8" s="656" t="s">
        <v>264</v>
      </c>
      <c r="D8" s="659">
        <f>SUM('Actual P&amp;L Statement'!$J7:$L7)</f>
        <v>4727636.7188945804</v>
      </c>
      <c r="E8" s="660">
        <f>SUM('Business Projection'!J$7:L$7)</f>
        <v>3627636.7188945813</v>
      </c>
      <c r="F8" s="666">
        <f>(D8-E8)/D8</f>
        <v>0.23267439217647881</v>
      </c>
      <c r="G8" s="659">
        <f>SUM('Actual P&amp;L Statement'!J$8:L$8)</f>
        <v>64203685.79430978</v>
      </c>
      <c r="H8" s="659">
        <f>SUM('Business Projection'!J$8:L$8)</f>
        <v>65203685.794309765</v>
      </c>
      <c r="I8" s="666">
        <f>(G8-H8)/G8</f>
        <v>-1.557542978457185E-2</v>
      </c>
      <c r="J8" s="659">
        <f>SUM('Actual P&amp;L Statement'!J$9:L$9)</f>
        <v>972590</v>
      </c>
      <c r="K8" s="659">
        <f>SUM('Business Projection'!J$9:L$9)</f>
        <v>1162590</v>
      </c>
      <c r="L8" s="666">
        <f>(J8-K8)/J8</f>
        <v>-0.19535467154710617</v>
      </c>
      <c r="M8" s="659">
        <f>SUM('Actual P&amp;L Statement'!J$10:L$10)</f>
        <v>1028105.1755317624</v>
      </c>
      <c r="N8" s="659">
        <f>SUM('Business Projection'!J$10:L$10)</f>
        <v>1328105.1755317624</v>
      </c>
      <c r="O8" s="666">
        <f>(M8-N8)/M8</f>
        <v>-0.2917989395830366</v>
      </c>
    </row>
    <row r="9" spans="3:15">
      <c r="C9" s="657" t="s">
        <v>263</v>
      </c>
      <c r="D9" s="661">
        <f>SUM('Actual P&amp;L Statement'!M$7:O$7)</f>
        <v>5230508.9622410601</v>
      </c>
      <c r="E9" s="662">
        <f>SUM('Business Projection'!M$7:O$7)</f>
        <v>3930508.9622410731</v>
      </c>
      <c r="F9" s="667">
        <f t="shared" ref="F9:F11" si="0">(D9-E9)/D9</f>
        <v>0.24854177851231324</v>
      </c>
      <c r="G9" s="659">
        <f>SUM('Actual P&amp;L Statement'!M$8:O$8)</f>
        <v>92343893.138549179</v>
      </c>
      <c r="H9" s="659">
        <f>SUM('Business Projection'!M$8:O$8)</f>
        <v>94743893.138549179</v>
      </c>
      <c r="I9" s="667">
        <f t="shared" ref="I9:I11" si="1">(G9-H9)/G9</f>
        <v>-2.5989807429919957E-2</v>
      </c>
      <c r="J9" s="659">
        <f>SUM('Actual P&amp;L Statement'!M$9:O$9)</f>
        <v>1311371</v>
      </c>
      <c r="K9" s="659">
        <f>SUM('Business Projection'!M$9:O$9)</f>
        <v>1111371</v>
      </c>
      <c r="L9" s="667">
        <f t="shared" ref="L9:L11" si="2">(J9-K9)/J9</f>
        <v>0.15251214187289486</v>
      </c>
      <c r="M9" s="659">
        <f>SUM('Actual P&amp;L Statement'!M$10:O$10)</f>
        <v>5011551.8580819257</v>
      </c>
      <c r="N9" s="659">
        <f>SUM('Business Projection'!M$10:O$10)</f>
        <v>5211551.8580819257</v>
      </c>
      <c r="O9" s="667">
        <f t="shared" ref="O9:O11" si="3">(M9-N9)/M9</f>
        <v>-3.9907798155868257E-2</v>
      </c>
    </row>
    <row r="10" spans="3:15">
      <c r="C10" s="657" t="s">
        <v>265</v>
      </c>
      <c r="D10" s="661">
        <f>SUM('Actual P&amp;L Statement'!P$7:R$7)</f>
        <v>4289673.7250100868</v>
      </c>
      <c r="E10" s="662">
        <f>SUM('Business Projection'!P$7:R$7)</f>
        <v>2869673.7250100905</v>
      </c>
      <c r="F10" s="667">
        <f t="shared" si="0"/>
        <v>0.33102750722530938</v>
      </c>
      <c r="G10" s="659">
        <f>SUM('Actual P&amp;L Statement'!P$8:R$8)</f>
        <v>72452268.409273416</v>
      </c>
      <c r="H10" s="659">
        <f>SUM('Business Projection'!P$8:R$8)</f>
        <v>74552268.409273416</v>
      </c>
      <c r="I10" s="667">
        <f t="shared" si="1"/>
        <v>-2.8984599738649641E-2</v>
      </c>
      <c r="J10" s="659">
        <f>SUM('Actual P&amp;L Statement'!P$9:R$9)</f>
        <v>1134135</v>
      </c>
      <c r="K10" s="659">
        <f>SUM('Business Projection'!P$9:R$9)</f>
        <v>1134135</v>
      </c>
      <c r="L10" s="667">
        <f t="shared" si="2"/>
        <v>0</v>
      </c>
      <c r="M10" s="659">
        <f>SUM('Actual P&amp;L Statement'!P$10:R$10)</f>
        <v>2295676.1073594168</v>
      </c>
      <c r="N10" s="659">
        <f>SUM('Business Projection'!P$10:R$10)</f>
        <v>1675676.1073594168</v>
      </c>
      <c r="O10" s="667">
        <f t="shared" si="3"/>
        <v>0.27007294191563902</v>
      </c>
    </row>
    <row r="11" spans="3:15" ht="13.5" thickBot="1">
      <c r="C11" s="658" t="s">
        <v>269</v>
      </c>
      <c r="D11" s="663">
        <f>SUM('Actual P&amp;L Statement'!S$7:U$7)</f>
        <v>2892771.8548999131</v>
      </c>
      <c r="E11" s="664">
        <f>SUM('Business Projection'!S$7:U$7)</f>
        <v>2192771.8548999121</v>
      </c>
      <c r="F11" s="668">
        <f t="shared" si="0"/>
        <v>0.24198244283050113</v>
      </c>
      <c r="G11" s="669">
        <f>SUM('Actual P&amp;L Statement'!S$8:U$8)</f>
        <v>51916128.753581002</v>
      </c>
      <c r="H11" s="669">
        <f>SUM('Business Projection'!S$8:U$8)</f>
        <v>55016128.753581047</v>
      </c>
      <c r="I11" s="668">
        <f t="shared" si="1"/>
        <v>-5.9711694119454484E-2</v>
      </c>
      <c r="J11" s="669">
        <f>SUM('Actual P&amp;L Statement'!S$9:U$9)</f>
        <v>178045</v>
      </c>
      <c r="K11" s="669">
        <f>SUM('Business Projection'!S$9:U$9)</f>
        <v>378045</v>
      </c>
      <c r="L11" s="668">
        <f t="shared" si="2"/>
        <v>-1.1233115223679406</v>
      </c>
      <c r="M11" s="669">
        <f>SUM('Actual P&amp;L Statement'!S$10:U$10)</f>
        <v>7296.4069395206252</v>
      </c>
      <c r="N11" s="669">
        <f>SUM('Business Projection'!S$10:U$10)</f>
        <v>7296.4069395206252</v>
      </c>
      <c r="O11" s="668">
        <f t="shared" si="3"/>
        <v>0</v>
      </c>
    </row>
    <row r="12" spans="3:15">
      <c r="D12" s="665"/>
      <c r="E12" s="665"/>
      <c r="F12" s="665"/>
      <c r="G12" s="665"/>
      <c r="H12" s="665"/>
      <c r="I12" s="665"/>
      <c r="J12" s="665"/>
      <c r="K12" s="665"/>
      <c r="L12" s="665"/>
      <c r="M12" s="665"/>
      <c r="N12" s="665"/>
      <c r="O12" s="665"/>
    </row>
    <row r="13" spans="3:15">
      <c r="D13" s="665"/>
      <c r="E13" s="665"/>
      <c r="F13" s="665"/>
      <c r="G13" s="665"/>
      <c r="H13" s="665"/>
      <c r="I13" s="665"/>
      <c r="J13" s="665"/>
      <c r="K13" s="665"/>
      <c r="L13" s="665"/>
      <c r="M13" s="665"/>
      <c r="N13" s="665"/>
      <c r="O13" s="665"/>
    </row>
    <row r="14" spans="3:15">
      <c r="D14" s="665"/>
      <c r="E14" s="665"/>
      <c r="F14" s="665"/>
      <c r="G14" s="665"/>
      <c r="H14" s="665"/>
      <c r="I14" s="665"/>
      <c r="J14" s="665"/>
      <c r="K14" s="665"/>
      <c r="L14" s="665"/>
      <c r="M14" s="665"/>
      <c r="N14" s="665"/>
      <c r="O14" s="665"/>
    </row>
    <row r="15" spans="3:15" ht="13.5" thickBot="1">
      <c r="D15" s="665"/>
      <c r="E15" s="665"/>
      <c r="F15" s="665"/>
      <c r="G15" s="665"/>
      <c r="H15" s="665"/>
      <c r="I15" s="665"/>
      <c r="J15" s="665"/>
      <c r="K15" s="665"/>
      <c r="L15" s="665"/>
      <c r="M15" s="665"/>
      <c r="N15" s="665"/>
      <c r="O15" s="665"/>
    </row>
    <row r="16" spans="3:15" ht="13.5" thickBot="1">
      <c r="C16" s="1204" t="s">
        <v>459</v>
      </c>
      <c r="D16" s="1205"/>
      <c r="E16" s="1205"/>
      <c r="F16" s="1205"/>
      <c r="G16" s="1205"/>
      <c r="H16" s="1205"/>
      <c r="I16" s="1205"/>
      <c r="J16" s="1205"/>
      <c r="K16" s="1205"/>
      <c r="L16" s="1205"/>
      <c r="M16" s="1205"/>
      <c r="N16" s="1205"/>
      <c r="O16" s="1206"/>
    </row>
    <row r="17" spans="3:18">
      <c r="C17" s="1202" t="s">
        <v>451</v>
      </c>
      <c r="D17" s="1198" t="s">
        <v>243</v>
      </c>
      <c r="E17" s="1199"/>
      <c r="F17" s="1200"/>
      <c r="G17" s="1198" t="s">
        <v>244</v>
      </c>
      <c r="H17" s="1199"/>
      <c r="I17" s="1200"/>
      <c r="J17" s="1198" t="s">
        <v>245</v>
      </c>
      <c r="K17" s="1199"/>
      <c r="L17" s="1213"/>
      <c r="M17" s="1198" t="s">
        <v>246</v>
      </c>
      <c r="N17" s="1199"/>
      <c r="O17" s="1200"/>
    </row>
    <row r="18" spans="3:18" ht="13.5" thickBot="1">
      <c r="C18" s="1203"/>
      <c r="D18" s="679" t="s">
        <v>452</v>
      </c>
      <c r="E18" s="680" t="s">
        <v>453</v>
      </c>
      <c r="F18" s="681" t="s">
        <v>455</v>
      </c>
      <c r="G18" s="679" t="s">
        <v>452</v>
      </c>
      <c r="H18" s="680" t="s">
        <v>453</v>
      </c>
      <c r="I18" s="681" t="s">
        <v>455</v>
      </c>
      <c r="J18" s="679" t="s">
        <v>452</v>
      </c>
      <c r="K18" s="680" t="s">
        <v>453</v>
      </c>
      <c r="L18" s="683" t="s">
        <v>455</v>
      </c>
      <c r="M18" s="679" t="s">
        <v>452</v>
      </c>
      <c r="N18" s="680" t="s">
        <v>453</v>
      </c>
      <c r="O18" s="681" t="s">
        <v>455</v>
      </c>
    </row>
    <row r="19" spans="3:18">
      <c r="C19" s="656" t="s">
        <v>264</v>
      </c>
      <c r="D19" s="659">
        <f>SUM('Actual P&amp;L Statement'!J45:L45)</f>
        <v>3336784.1504850001</v>
      </c>
      <c r="E19" s="660">
        <f>SUM('Business Projection'!J45:L45)</f>
        <v>3036784.1504850001</v>
      </c>
      <c r="F19" s="666">
        <f>(E19-D19)/E19</f>
        <v>-9.8788713696390792E-2</v>
      </c>
      <c r="G19" s="659">
        <f>SUM('Actual P&amp;L Statement'!J$46:L$46)</f>
        <v>52369909.50875999</v>
      </c>
      <c r="H19" s="659">
        <f>SUM('Business Projection'!J$46:L$46)</f>
        <v>54469909.50875999</v>
      </c>
      <c r="I19" s="666">
        <f t="shared" ref="I19:I22" si="4">(H19-G19)/H19</f>
        <v>3.855339615833716E-2</v>
      </c>
      <c r="J19" s="659">
        <f>SUM('Actual P&amp;L Statement'!J$47:L$47)</f>
        <v>975600</v>
      </c>
      <c r="K19" s="659">
        <f>SUM('Business Projection'!J$47:L$47)</f>
        <v>975600</v>
      </c>
      <c r="L19" s="666">
        <f t="shared" ref="L19:L22" si="5">(K19-J19)/K19</f>
        <v>0</v>
      </c>
      <c r="M19" s="659">
        <f>SUM('Actual P&amp;L Statement'!J$48:L$48)</f>
        <v>1228160</v>
      </c>
      <c r="N19" s="659">
        <f>SUM('Business Projection'!J$48:L$48)</f>
        <v>1028160</v>
      </c>
      <c r="O19" s="666">
        <f t="shared" ref="O19:O22" si="6">(N19-M19)/N19</f>
        <v>-0.19452225334578277</v>
      </c>
    </row>
    <row r="20" spans="3:18">
      <c r="C20" s="657" t="s">
        <v>263</v>
      </c>
      <c r="D20" s="659">
        <f>SUM('Actual P&amp;L Statement'!M45:O45)</f>
        <v>3755722.711450485</v>
      </c>
      <c r="E20" s="662">
        <f>SUM('Business Projection'!M45:O45)</f>
        <v>3455722.711450485</v>
      </c>
      <c r="F20" s="666">
        <f t="shared" ref="F20:F22" si="7">(E20-D20)/E20</f>
        <v>-8.6812520867474277E-2</v>
      </c>
      <c r="G20" s="659">
        <f>SUM('Actual P&amp;L Statement'!M$46:O$46)</f>
        <v>81396432.522308767</v>
      </c>
      <c r="H20" s="659">
        <f>SUM('Business Projection'!M$46:O$46)</f>
        <v>83496432.522308767</v>
      </c>
      <c r="I20" s="666">
        <f t="shared" si="4"/>
        <v>2.5150775147655766E-2</v>
      </c>
      <c r="J20" s="659">
        <f>SUM('Actual P&amp;L Statement'!M$47:O$47)</f>
        <v>975600</v>
      </c>
      <c r="K20" s="659">
        <f>SUM('Business Projection'!M$47:O$47)</f>
        <v>975600</v>
      </c>
      <c r="L20" s="666">
        <f t="shared" si="5"/>
        <v>0</v>
      </c>
      <c r="M20" s="659">
        <f>SUM('Actual P&amp;L Statement'!M$48:O$48)</f>
        <v>4634551.824</v>
      </c>
      <c r="N20" s="659">
        <f>SUM('Business Projection'!M$48:O$48)</f>
        <v>4034551.824</v>
      </c>
      <c r="O20" s="666">
        <f t="shared" si="6"/>
        <v>-0.14871540289328553</v>
      </c>
    </row>
    <row r="21" spans="3:18">
      <c r="C21" s="657" t="s">
        <v>265</v>
      </c>
      <c r="D21" s="661">
        <f>SUM('Actual P&amp;L Statement'!P45:R45)</f>
        <v>2749072.1957414504</v>
      </c>
      <c r="E21" s="662">
        <f>SUM('Business Projection'!P45:R45)</f>
        <v>2449072.1957414504</v>
      </c>
      <c r="F21" s="666">
        <f t="shared" si="7"/>
        <v>-0.12249536805066531</v>
      </c>
      <c r="G21" s="659">
        <f>SUM('Actual P&amp;L Statement'!P$46:R$46)</f>
        <v>61748290.3253223</v>
      </c>
      <c r="H21" s="659">
        <f>SUM('Business Projection'!P$46:R$46)</f>
        <v>63848290.3253223</v>
      </c>
      <c r="I21" s="666">
        <f t="shared" si="4"/>
        <v>3.2890465653817792E-2</v>
      </c>
      <c r="J21" s="659">
        <f>SUM('Actual P&amp;L Statement'!P$47:R$47)</f>
        <v>975600</v>
      </c>
      <c r="K21" s="659">
        <f>SUM('Business Projection'!P$47:R$47)</f>
        <v>975600</v>
      </c>
      <c r="L21" s="666">
        <f t="shared" si="5"/>
        <v>0</v>
      </c>
      <c r="M21" s="659">
        <f>SUM('Actual P&amp;L Statement'!P$48:R$48)</f>
        <v>1697233.9678239999</v>
      </c>
      <c r="N21" s="659">
        <f>SUM('Business Projection'!P$48:R$48)</f>
        <v>1297233.9678239999</v>
      </c>
      <c r="O21" s="666">
        <f t="shared" si="6"/>
        <v>-0.30834838581275059</v>
      </c>
    </row>
    <row r="22" spans="3:18" ht="13.5" thickBot="1">
      <c r="C22" s="658" t="s">
        <v>269</v>
      </c>
      <c r="D22" s="663">
        <f>SUM('Actual P&amp;L Statement'!S45:U45)</f>
        <v>2171382.2880407413</v>
      </c>
      <c r="E22" s="664">
        <f>SUM('Business Projection'!S45:U45)</f>
        <v>1871382.2880407413</v>
      </c>
      <c r="F22" s="684">
        <f t="shared" si="7"/>
        <v>-0.16030930821413694</v>
      </c>
      <c r="G22" s="669">
        <f>SUM('Actual P&amp;L Statement'!S$46:U$46)</f>
        <v>45017087.597525321</v>
      </c>
      <c r="H22" s="669">
        <f>SUM('Business Projection'!S$46:U$46)</f>
        <v>47117087.597525321</v>
      </c>
      <c r="I22" s="684">
        <f t="shared" si="4"/>
        <v>4.4569817598622032E-2</v>
      </c>
      <c r="J22" s="669">
        <f>SUM('Actual P&amp;L Statement'!S$47:U$47)</f>
        <v>325200</v>
      </c>
      <c r="K22" s="669">
        <f>SUM('Business Projection'!S$47:U$47)</f>
        <v>325200</v>
      </c>
      <c r="L22" s="684">
        <f t="shared" si="5"/>
        <v>0</v>
      </c>
      <c r="M22" s="669">
        <f>SUM('Actual P&amp;L Statement'!S$48:U$48)</f>
        <v>5648.5539678240002</v>
      </c>
      <c r="N22" s="669">
        <f>SUM('Business Projection'!S$48:U$48)</f>
        <v>5648.5539678240002</v>
      </c>
      <c r="O22" s="684">
        <f t="shared" si="6"/>
        <v>0</v>
      </c>
    </row>
    <row r="23" spans="3:18">
      <c r="D23" s="665"/>
      <c r="E23" s="665"/>
      <c r="F23" s="665"/>
      <c r="G23" s="665"/>
      <c r="H23" s="665"/>
      <c r="I23" s="665"/>
      <c r="J23" s="665"/>
      <c r="K23" s="665"/>
      <c r="L23" s="665"/>
      <c r="M23" s="665"/>
      <c r="N23" s="665"/>
      <c r="O23" s="665"/>
    </row>
    <row r="24" spans="3:18" ht="13.5" thickBot="1">
      <c r="D24" s="665"/>
      <c r="E24" s="665"/>
      <c r="F24" s="665"/>
      <c r="G24" s="665"/>
      <c r="H24" s="665"/>
      <c r="I24" s="665"/>
      <c r="J24" s="665"/>
      <c r="K24" s="665"/>
      <c r="L24" s="665"/>
      <c r="M24" s="665"/>
      <c r="N24" s="665"/>
      <c r="O24" s="665"/>
    </row>
    <row r="25" spans="3:18" ht="13.5" thickBot="1">
      <c r="C25" s="1204" t="s">
        <v>460</v>
      </c>
      <c r="D25" s="1205"/>
      <c r="E25" s="1205"/>
      <c r="F25" s="1205"/>
      <c r="G25" s="1205"/>
      <c r="H25" s="1205"/>
      <c r="I25" s="1205"/>
      <c r="J25" s="1205"/>
      <c r="K25" s="1205"/>
      <c r="L25" s="1205"/>
      <c r="M25" s="1205"/>
      <c r="N25" s="1205"/>
      <c r="O25" s="1205"/>
      <c r="P25" s="1205"/>
      <c r="Q25" s="1205"/>
      <c r="R25" s="1206"/>
    </row>
    <row r="26" spans="3:18">
      <c r="C26" s="1207" t="s">
        <v>454</v>
      </c>
      <c r="D26" s="1198" t="s">
        <v>320</v>
      </c>
      <c r="E26" s="1199"/>
      <c r="F26" s="1200"/>
      <c r="G26" s="1198" t="s">
        <v>438</v>
      </c>
      <c r="H26" s="1199"/>
      <c r="I26" s="1200"/>
      <c r="J26" s="1198" t="s">
        <v>321</v>
      </c>
      <c r="K26" s="1199"/>
      <c r="L26" s="1200"/>
      <c r="M26" s="1201" t="s">
        <v>322</v>
      </c>
      <c r="N26" s="1199"/>
      <c r="O26" s="1200"/>
      <c r="P26" s="1201" t="s">
        <v>410</v>
      </c>
      <c r="Q26" s="1199"/>
      <c r="R26" s="1200"/>
    </row>
    <row r="27" spans="3:18" ht="13.5" thickBot="1">
      <c r="C27" s="1208"/>
      <c r="D27" s="679" t="s">
        <v>452</v>
      </c>
      <c r="E27" s="680" t="s">
        <v>453</v>
      </c>
      <c r="F27" s="681" t="s">
        <v>455</v>
      </c>
      <c r="G27" s="679" t="s">
        <v>452</v>
      </c>
      <c r="H27" s="680" t="s">
        <v>453</v>
      </c>
      <c r="I27" s="681" t="s">
        <v>455</v>
      </c>
      <c r="J27" s="679" t="s">
        <v>452</v>
      </c>
      <c r="K27" s="680" t="s">
        <v>453</v>
      </c>
      <c r="L27" s="681" t="s">
        <v>455</v>
      </c>
      <c r="M27" s="682" t="s">
        <v>452</v>
      </c>
      <c r="N27" s="680" t="s">
        <v>453</v>
      </c>
      <c r="O27" s="681" t="s">
        <v>455</v>
      </c>
      <c r="P27" s="682" t="s">
        <v>452</v>
      </c>
      <c r="Q27" s="680" t="s">
        <v>453</v>
      </c>
      <c r="R27" s="681" t="s">
        <v>455</v>
      </c>
    </row>
    <row r="28" spans="3:18">
      <c r="C28" s="656" t="s">
        <v>264</v>
      </c>
      <c r="D28" s="659">
        <f>SUM('Actual P&amp;L Statement'!J$53:L$53)</f>
        <v>47700</v>
      </c>
      <c r="E28" s="660">
        <f>SUM('Business Projection'!J$53:L$53)</f>
        <v>35700</v>
      </c>
      <c r="F28" s="666">
        <f>(E28-D28)/E28</f>
        <v>-0.33613445378151263</v>
      </c>
      <c r="G28" s="659">
        <f>SUM('Actual P&amp;L Statement'!J$54:L$54)</f>
        <v>1995783.3599999999</v>
      </c>
      <c r="H28" s="660">
        <f>SUM('Business Projection'!J$54:L$54)</f>
        <v>1695783.3599999999</v>
      </c>
      <c r="I28" s="666">
        <f>(H28-G28)/H28</f>
        <v>-0.17690939012398377</v>
      </c>
      <c r="J28" s="659">
        <f>SUM('Actual P&amp;L Statement'!J$55:L$55)</f>
        <v>10500</v>
      </c>
      <c r="K28" s="659">
        <f>SUM('Business Projection'!J$55:L$55)</f>
        <v>10500</v>
      </c>
      <c r="L28" s="666">
        <f>(K28-J28)/K28</f>
        <v>0</v>
      </c>
      <c r="M28" s="659">
        <f>SUM('Actual P&amp;L Statement'!J$56:L$56)</f>
        <v>12915</v>
      </c>
      <c r="N28" s="659">
        <f>SUM('Business Projection'!J$56:L$56)</f>
        <v>12915</v>
      </c>
      <c r="O28" s="666">
        <f>(N28-M28)/N28</f>
        <v>0</v>
      </c>
      <c r="P28" s="659">
        <f>SUM('Actual P&amp;L Statement'!J$57:L$57)</f>
        <v>572768.33333333326</v>
      </c>
      <c r="Q28" s="659">
        <f>SUM('Business Projection'!J$57:L$57)</f>
        <v>462768.33333333331</v>
      </c>
      <c r="R28" s="666">
        <f>(Q28-P28)/Q28</f>
        <v>-0.23769992905017256</v>
      </c>
    </row>
    <row r="29" spans="3:18">
      <c r="C29" s="657" t="s">
        <v>263</v>
      </c>
      <c r="D29" s="659">
        <f>SUM('Actual P&amp;L Statement'!M$53:O$53)</f>
        <v>40700</v>
      </c>
      <c r="E29" s="660">
        <f>SUM('Business Projection'!M$53:O$53)</f>
        <v>35700</v>
      </c>
      <c r="F29" s="666">
        <f t="shared" ref="F29:F31" si="8">(E29-D29)/E29</f>
        <v>-0.14005602240896359</v>
      </c>
      <c r="G29" s="659">
        <f>SUM('Actual P&amp;L Statement'!M$54:O$54)</f>
        <v>2894923.3600000003</v>
      </c>
      <c r="H29" s="660">
        <f>SUM('Business Projection'!M$54:O$54)</f>
        <v>2594923.3600000003</v>
      </c>
      <c r="I29" s="666">
        <f t="shared" ref="I29:I31" si="9">(H29-G29)/H29</f>
        <v>-0.11561035081976369</v>
      </c>
      <c r="J29" s="659">
        <f>SUM('Actual P&amp;L Statement'!M$55:O$55)</f>
        <v>10500</v>
      </c>
      <c r="K29" s="659">
        <f>SUM('Business Projection'!M$55:O$55)</f>
        <v>10500</v>
      </c>
      <c r="L29" s="666">
        <f t="shared" ref="L29:L31" si="10">(K29-J29)/K29</f>
        <v>0</v>
      </c>
      <c r="M29" s="659">
        <f>SUM('Actual P&amp;L Statement'!M$56:O$56)</f>
        <v>12915</v>
      </c>
      <c r="N29" s="659">
        <f>SUM('Business Projection'!M$56:O$56)</f>
        <v>12915</v>
      </c>
      <c r="O29" s="666">
        <f t="shared" ref="O29:O31" si="11">(N29-M29)/N29</f>
        <v>0</v>
      </c>
      <c r="P29" s="659">
        <f>SUM('Actual P&amp;L Statement'!M$57:O$57)</f>
        <v>1335895.3999999999</v>
      </c>
      <c r="Q29" s="659">
        <f>SUM('Business Projection'!M$57:O$57)</f>
        <v>1035895.3999999999</v>
      </c>
      <c r="R29" s="666">
        <f t="shared" ref="R29:R31" si="12">(Q29-P29)/Q29</f>
        <v>-0.28960452956929822</v>
      </c>
    </row>
    <row r="30" spans="3:18">
      <c r="C30" s="657" t="s">
        <v>265</v>
      </c>
      <c r="D30" s="659">
        <f>SUM('Actual P&amp;L Statement'!P$53:R$53)</f>
        <v>26700</v>
      </c>
      <c r="E30" s="660">
        <f>SUM('Business Projection'!P$53:R$53)</f>
        <v>35700</v>
      </c>
      <c r="F30" s="666">
        <f t="shared" si="8"/>
        <v>0.25210084033613445</v>
      </c>
      <c r="G30" s="659">
        <f>SUM('Actual P&amp;L Statement'!P$54:R$54)</f>
        <v>2176580.7999999998</v>
      </c>
      <c r="H30" s="660">
        <f>SUM('Business Projection'!P$54:R$54)</f>
        <v>1876580.8</v>
      </c>
      <c r="I30" s="666">
        <f t="shared" si="9"/>
        <v>-0.15986521869988213</v>
      </c>
      <c r="J30" s="659">
        <f>SUM('Actual P&amp;L Statement'!P$55:R$55)</f>
        <v>10500</v>
      </c>
      <c r="K30" s="659">
        <f>SUM('Business Projection'!P$55:R$55)</f>
        <v>10500</v>
      </c>
      <c r="L30" s="666">
        <f t="shared" si="10"/>
        <v>0</v>
      </c>
      <c r="M30" s="659">
        <f>SUM('Actual P&amp;L Statement'!P$56:R$56)</f>
        <v>12915</v>
      </c>
      <c r="N30" s="659">
        <f>SUM('Business Projection'!J$56:L$56)</f>
        <v>12915</v>
      </c>
      <c r="O30" s="666">
        <f t="shared" si="11"/>
        <v>0</v>
      </c>
      <c r="P30" s="659">
        <f>SUM('Actual P&amp;L Statement'!P$57:R$57)</f>
        <v>724896.26666666672</v>
      </c>
      <c r="Q30" s="659">
        <f>SUM('Business Projection'!P$57:R$57)</f>
        <v>524896.26666666672</v>
      </c>
      <c r="R30" s="666">
        <f t="shared" si="12"/>
        <v>-0.38102766718096931</v>
      </c>
    </row>
    <row r="31" spans="3:18" ht="13.5" thickBot="1">
      <c r="C31" s="658" t="s">
        <v>269</v>
      </c>
      <c r="D31" s="669">
        <f>SUM('Actual P&amp;L Statement'!S$53:U$53)</f>
        <v>26700</v>
      </c>
      <c r="E31" s="685">
        <f>SUM('Business Projection'!S$53:U$53)</f>
        <v>35700</v>
      </c>
      <c r="F31" s="684">
        <f t="shared" si="8"/>
        <v>0.25210084033613445</v>
      </c>
      <c r="G31" s="669">
        <f>SUM('Actual P&amp;L Statement'!S$54:U$54)</f>
        <v>1529331.6800000002</v>
      </c>
      <c r="H31" s="685">
        <f>SUM('Business Projection'!S$54:U$54)</f>
        <v>1229331.6800000002</v>
      </c>
      <c r="I31" s="684">
        <f t="shared" si="9"/>
        <v>-0.24403503536165272</v>
      </c>
      <c r="J31" s="669">
        <f>SUM('Actual P&amp;L Statement'!S$55:U$55)</f>
        <v>10500</v>
      </c>
      <c r="K31" s="669">
        <f>SUM('Business Projection'!S$55:U$55)</f>
        <v>10500</v>
      </c>
      <c r="L31" s="684">
        <f t="shared" si="10"/>
        <v>0</v>
      </c>
      <c r="M31" s="669">
        <f>SUM('Actual P&amp;L Statement'!S$56:U$56)</f>
        <v>12915</v>
      </c>
      <c r="N31" s="669">
        <f>SUM('Business Projection'!S$56:U$56)</f>
        <v>12915</v>
      </c>
      <c r="O31" s="684">
        <f t="shared" si="11"/>
        <v>0</v>
      </c>
      <c r="P31" s="669">
        <f>SUM('Actual P&amp;L Statement'!S$57:U$57)</f>
        <v>143550</v>
      </c>
      <c r="Q31" s="669">
        <f>SUM('Business Projection'!S$57:U$57)</f>
        <v>143550</v>
      </c>
      <c r="R31" s="684">
        <f t="shared" si="12"/>
        <v>0</v>
      </c>
    </row>
    <row r="32" spans="3:18">
      <c r="C32" s="1"/>
    </row>
  </sheetData>
  <sheetProtection algorithmName="SHA-512" hashValue="hMtoQRtIP6ZxvzbkpF5QtZXLb1JbPPy9WqBNdO/ABEiaqq15K3P/KXCS3PD4QIMoCbPJ/n9t+6IZnPpmOAMPWw==" saltValue="OvMsnF+Y7ybLXXcWVoeOng==" spinCount="100000" sheet="1" objects="1" scenarios="1"/>
  <mergeCells count="18">
    <mergeCell ref="D26:F26"/>
    <mergeCell ref="G26:I26"/>
    <mergeCell ref="J26:L26"/>
    <mergeCell ref="M26:O26"/>
    <mergeCell ref="C17:C18"/>
    <mergeCell ref="C5:O5"/>
    <mergeCell ref="C16:O16"/>
    <mergeCell ref="C25:R25"/>
    <mergeCell ref="P26:R26"/>
    <mergeCell ref="C26:C27"/>
    <mergeCell ref="D6:F6"/>
    <mergeCell ref="G6:I6"/>
    <mergeCell ref="J6:L6"/>
    <mergeCell ref="M6:O6"/>
    <mergeCell ref="D17:F17"/>
    <mergeCell ref="G17:I17"/>
    <mergeCell ref="J17:L17"/>
    <mergeCell ref="M17:O17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36AE1-6DCE-41E3-B3A6-F86980C1FD26}">
  <dimension ref="C2:F25"/>
  <sheetViews>
    <sheetView topLeftCell="A7" workbookViewId="0">
      <selection activeCell="D19" sqref="D19"/>
    </sheetView>
  </sheetViews>
  <sheetFormatPr defaultRowHeight="12.75"/>
  <cols>
    <col min="3" max="3" width="8.140625" bestFit="1" customWidth="1"/>
    <col min="4" max="5" width="12.7109375" bestFit="1" customWidth="1"/>
    <col min="6" max="6" width="8.7109375" bestFit="1" customWidth="1"/>
    <col min="11" max="11" width="2" bestFit="1" customWidth="1"/>
  </cols>
  <sheetData>
    <row r="2" spans="3:6">
      <c r="D2" t="str">
        <f>'Dashboard-Charts'!E5</f>
        <v>Services</v>
      </c>
    </row>
    <row r="3" spans="3:6" ht="13.5" thickBot="1"/>
    <row r="4" spans="3:6" ht="13.5" thickBot="1">
      <c r="C4" s="655" t="s">
        <v>451</v>
      </c>
      <c r="D4" s="653" t="s">
        <v>452</v>
      </c>
      <c r="E4" s="652" t="s">
        <v>453</v>
      </c>
      <c r="F4" s="654" t="s">
        <v>455</v>
      </c>
    </row>
    <row r="5" spans="3:6">
      <c r="C5" s="656" t="s">
        <v>264</v>
      </c>
      <c r="D5" s="715">
        <f ca="1">IF($D$2="Input",OFFSET('Dashboard - Actual Vs Planned'!$D$6,ROW()-3,COLUMN()-4),IF($D$2="Output",OFFSET('Dashboard - Actual Vs Planned'!$G$6,ROW()-3,COLUMN()-4),IF($D$2="Services",OFFSET('Dashboard - Actual Vs Planned'!$J$6,ROW()-3,COLUMN()-4),IF($D$2="Processing",OFFSET('Dashboard - Actual Vs Planned'!$M$6,ROW()-3,COLUMN()-4),"-"))))</f>
        <v>972590</v>
      </c>
      <c r="E5" s="716">
        <f ca="1">IF($D$2="Input",OFFSET('Dashboard - Actual Vs Planned'!$D$6,ROW()-3,COLUMN()-4),IF($D$2="Output",OFFSET('Dashboard - Actual Vs Planned'!$G$6,ROW()-3,COLUMN()-4),IF($D$2="Services",OFFSET('Dashboard - Actual Vs Planned'!$J$6,ROW()-3,COLUMN()-4),IF($D$2="Processing",OFFSET('Dashboard - Actual Vs Planned'!$M$6,ROW()-3,COLUMN()-4),"-"))))</f>
        <v>1162590</v>
      </c>
      <c r="F5" s="666">
        <f ca="1">IF($D$2="Input",OFFSET('Dashboard - Actual Vs Planned'!$D$6,ROW()-3,COLUMN()-4),IF($D$2="Output",OFFSET('Dashboard - Actual Vs Planned'!$G$6,ROW()-3,COLUMN()-4),IF($D$2="Services",OFFSET('Dashboard - Actual Vs Planned'!$J$6,ROW()-3,COLUMN()-4),IF($D$2="Processing",OFFSET('Dashboard - Actual Vs Planned'!$M$6,ROW()-3,COLUMN()-4),"-"))))</f>
        <v>-0.19535467154710617</v>
      </c>
    </row>
    <row r="6" spans="3:6">
      <c r="C6" s="657" t="s">
        <v>263</v>
      </c>
      <c r="D6" s="717">
        <f ca="1">IF($D$2="Input",OFFSET('Dashboard - Actual Vs Planned'!$D$6,ROW()-3,COLUMN()-4),IF($D$2="Output",OFFSET('Dashboard - Actual Vs Planned'!$G$6,ROW()-3,COLUMN()-4),IF($D$2="Services",OFFSET('Dashboard - Actual Vs Planned'!$J$6,ROW()-3,COLUMN()-4),IF($D$2="Processing",OFFSET('Dashboard - Actual Vs Planned'!$M$6,ROW()-3,COLUMN()-4),"-"))))</f>
        <v>1311371</v>
      </c>
      <c r="E6" s="718">
        <f ca="1">IF($D$2="Input",OFFSET('Dashboard - Actual Vs Planned'!$D$6,ROW()-3,COLUMN()-4),IF($D$2="Output",OFFSET('Dashboard - Actual Vs Planned'!$G$6,ROW()-3,COLUMN()-4),IF($D$2="Services",OFFSET('Dashboard - Actual Vs Planned'!$J$6,ROW()-3,COLUMN()-4),IF($D$2="Processing",OFFSET('Dashboard - Actual Vs Planned'!$M$6,ROW()-3,COLUMN()-4),"-"))))</f>
        <v>1111371</v>
      </c>
      <c r="F6" s="667">
        <f ca="1">IF($D$2="Input",OFFSET('Dashboard - Actual Vs Planned'!$D$6,ROW()-3,COLUMN()-4),IF($D$2="Output",OFFSET('Dashboard - Actual Vs Planned'!$G$6,ROW()-3,COLUMN()-4),IF($D$2="Services",OFFSET('Dashboard - Actual Vs Planned'!$J$6,ROW()-3,COLUMN()-4),IF($D$2="Processing",OFFSET('Dashboard - Actual Vs Planned'!$M$6,ROW()-3,COLUMN()-4),"-"))))</f>
        <v>0.15251214187289486</v>
      </c>
    </row>
    <row r="7" spans="3:6">
      <c r="C7" s="657" t="s">
        <v>265</v>
      </c>
      <c r="D7" s="717">
        <f ca="1">IF($D$2="Input",OFFSET('Dashboard - Actual Vs Planned'!$D$6,ROW()-3,COLUMN()-4),IF($D$2="Output",OFFSET('Dashboard - Actual Vs Planned'!$G$6,ROW()-3,COLUMN()-4),IF($D$2="Services",OFFSET('Dashboard - Actual Vs Planned'!$J$6,ROW()-3,COLUMN()-4),IF($D$2="Processing",OFFSET('Dashboard - Actual Vs Planned'!$M$6,ROW()-3,COLUMN()-4),"-"))))</f>
        <v>1134135</v>
      </c>
      <c r="E7" s="718">
        <f ca="1">IF($D$2="Input",OFFSET('Dashboard - Actual Vs Planned'!$D$6,ROW()-3,COLUMN()-4),IF($D$2="Output",OFFSET('Dashboard - Actual Vs Planned'!$G$6,ROW()-3,COLUMN()-4),IF($D$2="Services",OFFSET('Dashboard - Actual Vs Planned'!$J$6,ROW()-3,COLUMN()-4),IF($D$2="Processing",OFFSET('Dashboard - Actual Vs Planned'!$M$6,ROW()-3,COLUMN()-4),"-"))))</f>
        <v>1134135</v>
      </c>
      <c r="F7" s="667">
        <f ca="1">IF($D$2="Input",OFFSET('Dashboard - Actual Vs Planned'!$D$6,ROW()-3,COLUMN()-4),IF($D$2="Output",OFFSET('Dashboard - Actual Vs Planned'!$G$6,ROW()-3,COLUMN()-4),IF($D$2="Services",OFFSET('Dashboard - Actual Vs Planned'!$J$6,ROW()-3,COLUMN()-4),IF($D$2="Processing",OFFSET('Dashboard - Actual Vs Planned'!$M$6,ROW()-3,COLUMN()-4),"-"))))</f>
        <v>0</v>
      </c>
    </row>
    <row r="8" spans="3:6" ht="13.5" thickBot="1">
      <c r="C8" s="658" t="s">
        <v>269</v>
      </c>
      <c r="D8" s="719">
        <f ca="1">IF($D$2="Input",OFFSET('Dashboard - Actual Vs Planned'!$D$6,ROW()-3,COLUMN()-4),IF($D$2="Output",OFFSET('Dashboard - Actual Vs Planned'!$G$6,ROW()-3,COLUMN()-4),IF($D$2="Services",OFFSET('Dashboard - Actual Vs Planned'!$J$6,ROW()-3,COLUMN()-4),IF($D$2="Processing",OFFSET('Dashboard - Actual Vs Planned'!$M$6,ROW()-3,COLUMN()-4),"-"))))</f>
        <v>178045</v>
      </c>
      <c r="E8" s="720">
        <f ca="1">IF($D$2="Input",OFFSET('Dashboard - Actual Vs Planned'!$D$6,ROW()-3,COLUMN()-4),IF($D$2="Output",OFFSET('Dashboard - Actual Vs Planned'!$G$6,ROW()-3,COLUMN()-4),IF($D$2="Services",OFFSET('Dashboard - Actual Vs Planned'!$J$6,ROW()-3,COLUMN()-4),IF($D$2="Processing",OFFSET('Dashboard - Actual Vs Planned'!$M$6,ROW()-3,COLUMN()-4),"-"))))</f>
        <v>378045</v>
      </c>
      <c r="F8" s="668">
        <f ca="1">IF($D$2="Input",OFFSET('Dashboard - Actual Vs Planned'!$D$6,ROW()-3,COLUMN()-4),IF($D$2="Output",OFFSET('Dashboard - Actual Vs Planned'!$G$6,ROW()-3,COLUMN()-4),IF($D$2="Services",OFFSET('Dashboard - Actual Vs Planned'!$J$6,ROW()-3,COLUMN()-4),IF($D$2="Processing",OFFSET('Dashboard - Actual Vs Planned'!$M$6,ROW()-3,COLUMN()-4),"-"))))</f>
        <v>-1.1233115223679406</v>
      </c>
    </row>
    <row r="9" spans="3:6">
      <c r="D9" s="721"/>
      <c r="E9" s="721"/>
    </row>
    <row r="10" spans="3:6">
      <c r="D10" s="721"/>
      <c r="E10" s="721"/>
    </row>
    <row r="11" spans="3:6" ht="13.5" thickBot="1">
      <c r="D11" s="721"/>
      <c r="E11" s="721"/>
    </row>
    <row r="12" spans="3:6" ht="13.5" thickBot="1">
      <c r="C12" s="655" t="s">
        <v>451</v>
      </c>
      <c r="D12" s="722" t="s">
        <v>452</v>
      </c>
      <c r="E12" s="723" t="s">
        <v>453</v>
      </c>
      <c r="F12" s="654" t="s">
        <v>455</v>
      </c>
    </row>
    <row r="13" spans="3:6">
      <c r="C13" s="656" t="s">
        <v>264</v>
      </c>
      <c r="D13" s="715">
        <f ca="1">IF($D$2="Input",OFFSET('Dashboard - Actual Vs Planned'!$D$17,ROW()-11,COLUMN()-4),IF($D$2="Output",OFFSET('Dashboard - Actual Vs Planned'!$G$17,ROW()-11,COLUMN()-4),IF($D$2="Services",OFFSET('Dashboard - Actual Vs Planned'!$J$17,ROW()-11,COLUMN()-4),IF($D$2="Processing",OFFSET('Dashboard - Actual Vs Planned'!$M$17,ROW()-11,COLUMN()-4),"-"))))</f>
        <v>975600</v>
      </c>
      <c r="E13" s="716">
        <f ca="1">IF($D$2="Input",OFFSET('Dashboard - Actual Vs Planned'!$D$17,ROW()-11,COLUMN()-4),IF($D$2="Output",OFFSET('Dashboard - Actual Vs Planned'!$G$17,ROW()-11,COLUMN()-4),IF($D$2="Services",OFFSET('Dashboard - Actual Vs Planned'!$J$17,ROW()-11,COLUMN()-4),IF($D$2="Processing",OFFSET('Dashboard - Actual Vs Planned'!$M$17,ROW()-11,COLUMN()-4),"-"))))</f>
        <v>975600</v>
      </c>
      <c r="F13" s="666">
        <f ca="1">IF($D$2="Input",OFFSET('Dashboard - Actual Vs Planned'!$D$17,ROW()-11,COLUMN()-4),IF($D$2="Output",OFFSET('Dashboard - Actual Vs Planned'!$G$17,ROW()-11,COLUMN()-4),IF($D$2="Services",OFFSET('Dashboard - Actual Vs Planned'!$J$17,ROW()-11,COLUMN()-4),IF($D$2="Processing",OFFSET('Dashboard - Actual Vs Planned'!$M$17,ROW()-11,COLUMN()-4),"-"))))</f>
        <v>0</v>
      </c>
    </row>
    <row r="14" spans="3:6">
      <c r="C14" s="657" t="s">
        <v>263</v>
      </c>
      <c r="D14" s="717">
        <f ca="1">IF($D$2="Input",OFFSET('Dashboard - Actual Vs Planned'!$D$17,ROW()-11,COLUMN()-4),IF($D$2="Output",OFFSET('Dashboard - Actual Vs Planned'!$G$17,ROW()-11,COLUMN()-4),IF($D$2="Services",OFFSET('Dashboard - Actual Vs Planned'!$J$17,ROW()-11,COLUMN()-4),IF($D$2="Processing",OFFSET('Dashboard - Actual Vs Planned'!$M$17,ROW()-11,COLUMN()-4),"-"))))</f>
        <v>975600</v>
      </c>
      <c r="E14" s="718">
        <f ca="1">IF($D$2="Input",OFFSET('Dashboard - Actual Vs Planned'!$D$17,ROW()-11,COLUMN()-4),IF($D$2="Output",OFFSET('Dashboard - Actual Vs Planned'!$G$17,ROW()-11,COLUMN()-4),IF($D$2="Services",OFFSET('Dashboard - Actual Vs Planned'!$J$17,ROW()-11,COLUMN()-4),IF($D$2="Processing",OFFSET('Dashboard - Actual Vs Planned'!$M$17,ROW()-11,COLUMN()-4),"-"))))</f>
        <v>975600</v>
      </c>
      <c r="F14" s="667">
        <f ca="1">IF($D$2="Input",OFFSET('Dashboard - Actual Vs Planned'!$D$17,ROW()-11,COLUMN()-4),IF($D$2="Output",OFFSET('Dashboard - Actual Vs Planned'!$G$17,ROW()-11,COLUMN()-4),IF($D$2="Services",OFFSET('Dashboard - Actual Vs Planned'!$J$17,ROW()-11,COLUMN()-4),IF($D$2="Processing",OFFSET('Dashboard - Actual Vs Planned'!$M$17,ROW()-11,COLUMN()-4),"-"))))</f>
        <v>0</v>
      </c>
    </row>
    <row r="15" spans="3:6">
      <c r="C15" s="657" t="s">
        <v>265</v>
      </c>
      <c r="D15" s="717">
        <f ca="1">IF($D$2="Input",OFFSET('Dashboard - Actual Vs Planned'!$D$17,ROW()-11,COLUMN()-4),IF($D$2="Output",OFFSET('Dashboard - Actual Vs Planned'!$G$17,ROW()-11,COLUMN()-4),IF($D$2="Services",OFFSET('Dashboard - Actual Vs Planned'!$J$17,ROW()-11,COLUMN()-4),IF($D$2="Processing",OFFSET('Dashboard - Actual Vs Planned'!$M$17,ROW()-11,COLUMN()-4),"-"))))</f>
        <v>975600</v>
      </c>
      <c r="E15" s="718">
        <f ca="1">IF($D$2="Input",OFFSET('Dashboard - Actual Vs Planned'!$D$17,ROW()-11,COLUMN()-4),IF($D$2="Output",OFFSET('Dashboard - Actual Vs Planned'!$G$17,ROW()-11,COLUMN()-4),IF($D$2="Services",OFFSET('Dashboard - Actual Vs Planned'!$J$17,ROW()-11,COLUMN()-4),IF($D$2="Processing",OFFSET('Dashboard - Actual Vs Planned'!$M$17,ROW()-11,COLUMN()-4),"-"))))</f>
        <v>975600</v>
      </c>
      <c r="F15" s="667">
        <f ca="1">IF($D$2="Input",OFFSET('Dashboard - Actual Vs Planned'!$D$17,ROW()-11,COLUMN()-4),IF($D$2="Output",OFFSET('Dashboard - Actual Vs Planned'!$G$17,ROW()-11,COLUMN()-4),IF($D$2="Services",OFFSET('Dashboard - Actual Vs Planned'!$J$17,ROW()-11,COLUMN()-4),IF($D$2="Processing",OFFSET('Dashboard - Actual Vs Planned'!$M$17,ROW()-11,COLUMN()-4),"-"))))</f>
        <v>0</v>
      </c>
    </row>
    <row r="16" spans="3:6" ht="13.5" thickBot="1">
      <c r="C16" s="658" t="s">
        <v>269</v>
      </c>
      <c r="D16" s="719">
        <f ca="1">IF($D$2="Input",OFFSET('Dashboard - Actual Vs Planned'!$D$17,ROW()-11,COLUMN()-4),IF($D$2="Output",OFFSET('Dashboard - Actual Vs Planned'!$G$17,ROW()-11,COLUMN()-4),IF($D$2="Services",OFFSET('Dashboard - Actual Vs Planned'!$J$17,ROW()-11,COLUMN()-4),IF($D$2="Processing",OFFSET('Dashboard - Actual Vs Planned'!$M$17,ROW()-11,COLUMN()-4),"-"))))</f>
        <v>325200</v>
      </c>
      <c r="E16" s="720">
        <f ca="1">IF($D$2="Input",OFFSET('Dashboard - Actual Vs Planned'!$D$17,ROW()-11,COLUMN()-4),IF($D$2="Output",OFFSET('Dashboard - Actual Vs Planned'!$G$17,ROW()-11,COLUMN()-4),IF($D$2="Services",OFFSET('Dashboard - Actual Vs Planned'!$J$17,ROW()-11,COLUMN()-4),IF($D$2="Processing",OFFSET('Dashboard - Actual Vs Planned'!$M$17,ROW()-11,COLUMN()-4),"-"))))</f>
        <v>325200</v>
      </c>
      <c r="F16" s="668">
        <f ca="1">IF($D$2="Input",OFFSET('Dashboard - Actual Vs Planned'!$D$17,ROW()-11,COLUMN()-4),IF($D$2="Output",OFFSET('Dashboard - Actual Vs Planned'!$G$17,ROW()-11,COLUMN()-4),IF($D$2="Services",OFFSET('Dashboard - Actual Vs Planned'!$J$17,ROW()-11,COLUMN()-4),IF($D$2="Processing",OFFSET('Dashboard - Actual Vs Planned'!$M$17,ROW()-11,COLUMN()-4),"-"))))</f>
        <v>0</v>
      </c>
    </row>
    <row r="17" spans="3:6">
      <c r="D17" s="721"/>
      <c r="E17" s="721"/>
    </row>
    <row r="18" spans="3:6">
      <c r="D18" s="721"/>
      <c r="E18" s="721"/>
    </row>
    <row r="19" spans="3:6">
      <c r="D19" s="721" t="str">
        <f>'Dashboard-Charts'!E27</f>
        <v>Processing Cost</v>
      </c>
      <c r="E19" s="721"/>
    </row>
    <row r="20" spans="3:6" ht="13.5" thickBot="1">
      <c r="D20" s="721"/>
      <c r="E20" s="721"/>
    </row>
    <row r="21" spans="3:6" ht="13.5" thickBot="1">
      <c r="C21" s="655" t="s">
        <v>451</v>
      </c>
      <c r="D21" s="722" t="s">
        <v>452</v>
      </c>
      <c r="E21" s="723" t="s">
        <v>453</v>
      </c>
      <c r="F21" s="654" t="s">
        <v>455</v>
      </c>
    </row>
    <row r="22" spans="3:6">
      <c r="C22" s="656" t="s">
        <v>264</v>
      </c>
      <c r="D22" s="715">
        <f ca="1">IF($D$19="Transport",OFFSET('Dashboard - Actual Vs Planned'!$D$26,ROW()-20,COLUMN()-4),IF($D$19="Transit Loss",OFFSET('Dashboard - Actual Vs Planned'!$G$26,ROW()-20,COLUMN()-4),IF($D$19="Storage Cost",OFFSET('Dashboard - Actual Vs Planned'!$J$26,ROW()-20,COLUMN()-4),IF($D$19="Labour Cost",OFFSET('Dashboard - Actual Vs Planned'!$M$26,ROW()-20,COLUMN()-4),IF($D$19="Processing Cost",OFFSET('Dashboard - Actual Vs Planned'!$M$26,ROW()-20,COLUMN()-4),"-")))))</f>
        <v>12915</v>
      </c>
      <c r="E22" s="716">
        <f ca="1">IF($D$19="Transport",OFFSET('Dashboard - Actual Vs Planned'!$D$26,ROW()-20,COLUMN()-4),IF($D$19="Transit Loss",OFFSET('Dashboard - Actual Vs Planned'!$G$26,ROW()-20,COLUMN()-4),IF($D$19="Storage Cost",OFFSET('Dashboard - Actual Vs Planned'!$J$26,ROW()-20,COLUMN()-4),IF($D$19="Labour Cost",OFFSET('Dashboard - Actual Vs Planned'!$M$26,ROW()-20,COLUMN()-4),IF($D$19="Processing Cost",OFFSET('Dashboard - Actual Vs Planned'!$M$26,ROW()-20,COLUMN()-4),"-")))))</f>
        <v>12915</v>
      </c>
      <c r="F22" s="666">
        <f ca="1">IF($D$19="Transport",OFFSET('Dashboard - Actual Vs Planned'!$D$26,ROW()-20,COLUMN()-4),IF($D$19="Transit Loss",OFFSET('Dashboard - Actual Vs Planned'!$G$26,ROW()-20,COLUMN()-4),IF($D$19="Storage Cost",OFFSET('Dashboard - Actual Vs Planned'!$J$26,ROW()-20,COLUMN()-4),IF($D$19="Labour Cost",OFFSET('Dashboard - Actual Vs Planned'!$M$26,ROW()-20,COLUMN()-4),IF($D$19="Processing Cost",OFFSET('Dashboard - Actual Vs Planned'!$M$26,ROW()-20,COLUMN()-4),"-")))))</f>
        <v>0</v>
      </c>
    </row>
    <row r="23" spans="3:6">
      <c r="C23" s="657" t="s">
        <v>263</v>
      </c>
      <c r="D23" s="717">
        <f ca="1">IF($D$19="Transport",OFFSET('Dashboard - Actual Vs Planned'!$D$26,ROW()-20,COLUMN()-4),IF($D$19="Transit Loss",OFFSET('Dashboard - Actual Vs Planned'!$G$26,ROW()-20,COLUMN()-4),IF($D$19="Storage Cost",OFFSET('Dashboard - Actual Vs Planned'!$J$26,ROW()-20,COLUMN()-4),IF($D$19="Labour Cost",OFFSET('Dashboard - Actual Vs Planned'!$M$26,ROW()-20,COLUMN()-4),IF($D$19="Processing Cost",OFFSET('Dashboard - Actual Vs Planned'!$M$26,ROW()-20,COLUMN()-4),"-")))))</f>
        <v>12915</v>
      </c>
      <c r="E23" s="718">
        <f ca="1">IF($D$19="Transport",OFFSET('Dashboard - Actual Vs Planned'!$D$26,ROW()-20,COLUMN()-4),IF($D$19="Transit Loss",OFFSET('Dashboard - Actual Vs Planned'!$G$26,ROW()-20,COLUMN()-4),IF($D$19="Storage Cost",OFFSET('Dashboard - Actual Vs Planned'!$J$26,ROW()-20,COLUMN()-4),IF($D$19="Labour Cost",OFFSET('Dashboard - Actual Vs Planned'!$M$26,ROW()-20,COLUMN()-4),IF($D$19="Processing Cost",OFFSET('Dashboard - Actual Vs Planned'!$M$26,ROW()-20,COLUMN()-4),"-")))))</f>
        <v>12915</v>
      </c>
      <c r="F23" s="667">
        <f ca="1">IF($D$19="Transport",OFFSET('Dashboard - Actual Vs Planned'!$D$26,ROW()-20,COLUMN()-4),IF($D$19="Transit Loss",OFFSET('Dashboard - Actual Vs Planned'!$G$26,ROW()-20,COLUMN()-4),IF($D$19="Storage Cost",OFFSET('Dashboard - Actual Vs Planned'!$J$26,ROW()-20,COLUMN()-4),IF($D$19="Labour Cost",OFFSET('Dashboard - Actual Vs Planned'!$M$26,ROW()-20,COLUMN()-4),IF($D$19="Processing Cost",OFFSET('Dashboard - Actual Vs Planned'!$M$26,ROW()-20,COLUMN()-4),"-")))))</f>
        <v>0</v>
      </c>
    </row>
    <row r="24" spans="3:6">
      <c r="C24" s="657" t="s">
        <v>265</v>
      </c>
      <c r="D24" s="717">
        <f ca="1">IF($D$19="Transport",OFFSET('Dashboard - Actual Vs Planned'!$D$26,ROW()-20,COLUMN()-4),IF($D$19="Transit Loss",OFFSET('Dashboard - Actual Vs Planned'!$G$26,ROW()-20,COLUMN()-4),IF($D$19="Storage Cost",OFFSET('Dashboard - Actual Vs Planned'!$J$26,ROW()-20,COLUMN()-4),IF($D$19="Labour Cost",OFFSET('Dashboard - Actual Vs Planned'!$M$26,ROW()-20,COLUMN()-4),IF($D$19="Processing Cost",OFFSET('Dashboard - Actual Vs Planned'!$M$26,ROW()-20,COLUMN()-4),"-")))))</f>
        <v>12915</v>
      </c>
      <c r="E24" s="718">
        <f ca="1">IF($D$19="Transport",OFFSET('Dashboard - Actual Vs Planned'!$D$26,ROW()-20,COLUMN()-4),IF($D$19="Transit Loss",OFFSET('Dashboard - Actual Vs Planned'!$G$26,ROW()-20,COLUMN()-4),IF($D$19="Storage Cost",OFFSET('Dashboard - Actual Vs Planned'!$J$26,ROW()-20,COLUMN()-4),IF($D$19="Labour Cost",OFFSET('Dashboard - Actual Vs Planned'!$M$26,ROW()-20,COLUMN()-4),IF($D$19="Processing Cost",OFFSET('Dashboard - Actual Vs Planned'!$M$26,ROW()-20,COLUMN()-4),"-")))))</f>
        <v>12915</v>
      </c>
      <c r="F24" s="667">
        <f ca="1">IF($D$19="Transport",OFFSET('Dashboard - Actual Vs Planned'!$D$26,ROW()-20,COLUMN()-4),IF($D$19="Transit Loss",OFFSET('Dashboard - Actual Vs Planned'!$G$26,ROW()-20,COLUMN()-4),IF($D$19="Storage Cost",OFFSET('Dashboard - Actual Vs Planned'!$J$26,ROW()-20,COLUMN()-4),IF($D$19="Labour Cost",OFFSET('Dashboard - Actual Vs Planned'!$M$26,ROW()-20,COLUMN()-4),IF($D$19="Processing Cost",OFFSET('Dashboard - Actual Vs Planned'!$M$26,ROW()-20,COLUMN()-4),"-")))))</f>
        <v>0</v>
      </c>
    </row>
    <row r="25" spans="3:6" ht="13.5" thickBot="1">
      <c r="C25" s="658" t="s">
        <v>269</v>
      </c>
      <c r="D25" s="719">
        <f ca="1">IF($D$19="Transport",OFFSET('Dashboard - Actual Vs Planned'!$D$26,ROW()-20,COLUMN()-4),IF($D$19="Transit Loss",OFFSET('Dashboard - Actual Vs Planned'!$G$26,ROW()-20,COLUMN()-4),IF($D$19="Storage Cost",OFFSET('Dashboard - Actual Vs Planned'!$J$26,ROW()-20,COLUMN()-4),IF($D$19="Labour Cost",OFFSET('Dashboard - Actual Vs Planned'!$M$26,ROW()-20,COLUMN()-4),IF($D$19="Processing Cost",OFFSET('Dashboard - Actual Vs Planned'!$M$26,ROW()-20,COLUMN()-4),"-")))))</f>
        <v>12915</v>
      </c>
      <c r="E25" s="720">
        <f ca="1">IF($D$19="Transport",OFFSET('Dashboard - Actual Vs Planned'!$D$26,ROW()-20,COLUMN()-4),IF($D$19="Transit Loss",OFFSET('Dashboard - Actual Vs Planned'!$G$26,ROW()-20,COLUMN()-4),IF($D$19="Storage Cost",OFFSET('Dashboard - Actual Vs Planned'!$J$26,ROW()-20,COLUMN()-4),IF($D$19="Labour Cost",OFFSET('Dashboard - Actual Vs Planned'!$M$26,ROW()-20,COLUMN()-4),IF($D$19="Processing Cost",OFFSET('Dashboard - Actual Vs Planned'!$M$26,ROW()-20,COLUMN()-4),"-")))))</f>
        <v>12915</v>
      </c>
      <c r="F25" s="668">
        <f ca="1">IF($D$19="Transport",OFFSET('Dashboard - Actual Vs Planned'!$D$26,ROW()-20,COLUMN()-4),IF($D$19="Transit Loss",OFFSET('Dashboard - Actual Vs Planned'!$G$26,ROW()-20,COLUMN()-4),IF($D$19="Storage Cost",OFFSET('Dashboard - Actual Vs Planned'!$J$26,ROW()-20,COLUMN()-4),IF($D$19="Labour Cost",OFFSET('Dashboard - Actual Vs Planned'!$M$26,ROW()-20,COLUMN()-4),IF($D$19="Processing Cost",OFFSET('Dashboard - Actual Vs Planned'!$M$26,ROW()-20,COLUMN()-4),"-")))))</f>
        <v>0</v>
      </c>
    </row>
  </sheetData>
  <sheetProtection algorithmName="SHA-512" hashValue="EozZDtboKM76o3p7ci8uFqe1uO5/Rn+EA9z70XFyYGCwOHtlAeuebyh9s5k1FyO5HlC0NhCOek6l1ZPQQPPHMA==" saltValue="j1wHnkvTqLygnLuUuE31fQ==" spinCount="100000"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1EBDC-72F9-405C-9759-82D16CBC9E66}">
  <dimension ref="D4:E27"/>
  <sheetViews>
    <sheetView showGridLines="0" workbookViewId="0">
      <selection activeCell="E5" sqref="E5"/>
    </sheetView>
  </sheetViews>
  <sheetFormatPr defaultRowHeight="12.75"/>
  <cols>
    <col min="4" max="4" width="16.28515625" customWidth="1"/>
    <col min="5" max="5" width="17.28515625" customWidth="1"/>
  </cols>
  <sheetData>
    <row r="4" spans="4:5" ht="13.5" thickBot="1"/>
    <row r="5" spans="4:5" ht="13.5" thickBot="1">
      <c r="D5" s="701" t="s">
        <v>462</v>
      </c>
      <c r="E5" s="702" t="s">
        <v>245</v>
      </c>
    </row>
    <row r="26" spans="4:5" ht="13.5" thickBot="1"/>
    <row r="27" spans="4:5" ht="13.5" thickBot="1">
      <c r="D27" s="701" t="s">
        <v>465</v>
      </c>
      <c r="E27" s="702" t="s">
        <v>466</v>
      </c>
    </row>
  </sheetData>
  <sheetProtection algorithmName="SHA-512" hashValue="+hr0+9Vw3w1zMeHiRQ9YaRgXBcGA+KYzE41cxV9uFliL9zzFlKDCmYFEaKwrWO/QXWEKnqLFYLp3PJs/870SJA==" saltValue="JoBh4hX6j8CcPGG/BNWzaA==" spinCount="100000" sheet="1" objects="1" scenarios="1"/>
  <dataValidations count="2">
    <dataValidation type="list" allowBlank="1" showInputMessage="1" showErrorMessage="1" sqref="E5" xr:uid="{DAF4073B-7311-4F91-8A0E-42DCA5C78A16}">
      <formula1>"Input,Output,Services,Processing"</formula1>
    </dataValidation>
    <dataValidation type="list" allowBlank="1" showInputMessage="1" showErrorMessage="1" sqref="E27" xr:uid="{52E38F24-AA6E-483B-A863-4D2CD9DAE98F}">
      <formula1>"Transport, Transit Loss, Storage Cost, Labour Cost, Processing Cost"</formula1>
    </dataValidation>
  </dataValidation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ED09B-1A90-42E3-A83F-89E585B3966B}">
  <sheetPr>
    <tabColor theme="8" tint="-0.249977111117893"/>
  </sheetPr>
  <dimension ref="A1:Y50"/>
  <sheetViews>
    <sheetView showGridLines="0" topLeftCell="J1" zoomScaleNormal="100" workbookViewId="0">
      <selection activeCell="M12" sqref="M12"/>
    </sheetView>
  </sheetViews>
  <sheetFormatPr defaultRowHeight="12.75"/>
  <cols>
    <col min="1" max="1" width="15.140625" bestFit="1" customWidth="1"/>
    <col min="2" max="2" width="12.85546875" bestFit="1" customWidth="1"/>
    <col min="3" max="3" width="17.5703125" bestFit="1" customWidth="1"/>
    <col min="4" max="4" width="21.7109375" bestFit="1" customWidth="1"/>
    <col min="5" max="5" width="12.85546875" bestFit="1" customWidth="1"/>
    <col min="6" max="6" width="12.5703125" bestFit="1" customWidth="1"/>
    <col min="7" max="7" width="16.42578125" bestFit="1" customWidth="1"/>
    <col min="8" max="8" width="14.140625" bestFit="1" customWidth="1"/>
    <col min="9" max="9" width="15" customWidth="1"/>
    <col min="10" max="10" width="14" customWidth="1"/>
    <col min="11" max="11" width="17" customWidth="1"/>
    <col min="12" max="12" width="10.28515625" bestFit="1" customWidth="1"/>
    <col min="13" max="13" width="19.85546875" customWidth="1"/>
    <col min="14" max="18" width="9.28515625" bestFit="1" customWidth="1"/>
    <col min="19" max="19" width="11.7109375" bestFit="1" customWidth="1"/>
    <col min="20" max="24" width="9.28515625" bestFit="1" customWidth="1"/>
  </cols>
  <sheetData>
    <row r="1" spans="1:24">
      <c r="A1" s="187" t="s">
        <v>14</v>
      </c>
      <c r="B1" s="187" t="s">
        <v>15</v>
      </c>
      <c r="C1" s="1" t="s">
        <v>16</v>
      </c>
      <c r="D1" s="1" t="s">
        <v>17</v>
      </c>
      <c r="E1" s="1" t="s">
        <v>19</v>
      </c>
      <c r="F1" s="1" t="s">
        <v>7</v>
      </c>
      <c r="G1" s="1" t="s">
        <v>8</v>
      </c>
      <c r="H1" s="1" t="s">
        <v>9</v>
      </c>
      <c r="I1" s="1" t="s">
        <v>10</v>
      </c>
      <c r="K1" t="s">
        <v>68</v>
      </c>
      <c r="L1" t="s">
        <v>67</v>
      </c>
    </row>
    <row r="2" spans="1:24">
      <c r="A2" s="8">
        <v>-0.5</v>
      </c>
      <c r="B2" s="8">
        <v>-0.5</v>
      </c>
      <c r="C2" s="7">
        <v>0</v>
      </c>
      <c r="D2" s="7">
        <v>0</v>
      </c>
      <c r="E2" s="45">
        <v>1.4999999999999999E-2</v>
      </c>
      <c r="F2" t="s">
        <v>3</v>
      </c>
      <c r="G2" t="s">
        <v>1</v>
      </c>
      <c r="H2" t="s">
        <v>2</v>
      </c>
      <c r="I2" t="s">
        <v>11</v>
      </c>
      <c r="K2">
        <v>0</v>
      </c>
      <c r="L2">
        <v>0</v>
      </c>
    </row>
    <row r="3" spans="1:24">
      <c r="A3" s="8">
        <v>-0.47</v>
      </c>
      <c r="B3" s="8">
        <v>-0.47</v>
      </c>
      <c r="C3" s="7">
        <v>0.05</v>
      </c>
      <c r="D3" s="7">
        <v>0.05</v>
      </c>
      <c r="E3" s="45">
        <v>2.5000000000000001E-2</v>
      </c>
      <c r="F3" t="s">
        <v>6</v>
      </c>
      <c r="G3" t="s">
        <v>0</v>
      </c>
      <c r="H3" t="s">
        <v>18</v>
      </c>
      <c r="I3" t="s">
        <v>18</v>
      </c>
      <c r="K3">
        <v>30</v>
      </c>
      <c r="L3">
        <v>-1</v>
      </c>
    </row>
    <row r="4" spans="1:24">
      <c r="A4" s="8">
        <v>-0.43999999999999995</v>
      </c>
      <c r="B4" s="8">
        <v>-0.43999999999999995</v>
      </c>
      <c r="C4" s="7">
        <v>0.1</v>
      </c>
      <c r="D4" s="7">
        <v>0.1</v>
      </c>
      <c r="E4" s="45">
        <v>3.5000000000000003E-2</v>
      </c>
      <c r="F4" t="s">
        <v>4</v>
      </c>
      <c r="K4">
        <v>60</v>
      </c>
      <c r="L4">
        <v>-2</v>
      </c>
    </row>
    <row r="5" spans="1:24">
      <c r="A5" s="8">
        <v>-0.40999999999999992</v>
      </c>
      <c r="B5" s="8">
        <v>-0.40999999999999992</v>
      </c>
      <c r="C5" s="7">
        <v>0.15</v>
      </c>
      <c r="D5" s="7">
        <v>0.15</v>
      </c>
      <c r="E5" s="45">
        <v>4.4999999999999998E-2</v>
      </c>
      <c r="F5" t="s">
        <v>5</v>
      </c>
      <c r="K5">
        <v>90</v>
      </c>
      <c r="L5">
        <v>-3</v>
      </c>
    </row>
    <row r="6" spans="1:24">
      <c r="A6" s="8">
        <v>-0.37999999999999989</v>
      </c>
      <c r="B6" s="8">
        <v>-0.37999999999999989</v>
      </c>
      <c r="C6" s="7">
        <v>0.2</v>
      </c>
      <c r="D6" s="7">
        <v>0.2</v>
      </c>
      <c r="E6" s="45">
        <v>5.5E-2</v>
      </c>
      <c r="K6">
        <v>120</v>
      </c>
      <c r="L6">
        <v>-4</v>
      </c>
    </row>
    <row r="7" spans="1:24">
      <c r="A7" s="8">
        <v>-0.34999999999999987</v>
      </c>
      <c r="B7" s="8">
        <v>-0.34999999999999987</v>
      </c>
      <c r="C7" s="7">
        <v>0.25</v>
      </c>
      <c r="D7" s="7">
        <v>0.25</v>
      </c>
      <c r="E7" s="45">
        <v>6.5000000000000002E-2</v>
      </c>
      <c r="K7">
        <v>150</v>
      </c>
      <c r="L7">
        <v>-5</v>
      </c>
    </row>
    <row r="8" spans="1:24">
      <c r="A8" s="8">
        <v>-0.31999999999999984</v>
      </c>
      <c r="B8" s="8">
        <v>-0.31999999999999984</v>
      </c>
      <c r="C8" s="7">
        <v>0.3</v>
      </c>
      <c r="D8" s="7">
        <v>0.3</v>
      </c>
      <c r="E8" s="45">
        <v>7.4999999999999997E-2</v>
      </c>
      <c r="K8">
        <v>180</v>
      </c>
      <c r="L8">
        <v>-6</v>
      </c>
    </row>
    <row r="9" spans="1:24">
      <c r="A9" s="8">
        <v>-0.28999999999999981</v>
      </c>
      <c r="B9" s="8">
        <v>-0.28999999999999981</v>
      </c>
      <c r="C9" s="7">
        <v>0.35</v>
      </c>
      <c r="D9" s="7">
        <v>0.35</v>
      </c>
      <c r="E9" s="45">
        <v>8.5000000000000006E-2</v>
      </c>
    </row>
    <row r="10" spans="1:24">
      <c r="A10" s="8">
        <v>-0.25999999999999979</v>
      </c>
      <c r="B10" s="8">
        <v>-0.25999999999999979</v>
      </c>
      <c r="C10" s="7">
        <v>0.4</v>
      </c>
      <c r="D10" s="7">
        <v>0.4</v>
      </c>
      <c r="E10" s="45">
        <v>9.5000000000000001E-2</v>
      </c>
    </row>
    <row r="11" spans="1:24" ht="13.5" thickBot="1">
      <c r="A11" s="8">
        <v>-0.22999999999999979</v>
      </c>
      <c r="B11" s="8">
        <v>-0.22999999999999979</v>
      </c>
      <c r="C11" s="7">
        <v>0.45</v>
      </c>
      <c r="D11" s="7">
        <v>0.45</v>
      </c>
      <c r="E11" s="45">
        <v>0.105</v>
      </c>
    </row>
    <row r="12" spans="1:24" ht="13.5" thickBot="1">
      <c r="A12" s="8">
        <v>-0.19999999999999979</v>
      </c>
      <c r="B12" s="8">
        <v>-0.19999999999999979</v>
      </c>
      <c r="C12" s="7">
        <v>0.5</v>
      </c>
      <c r="D12" s="7">
        <v>0.5</v>
      </c>
      <c r="E12" s="45">
        <v>0.115</v>
      </c>
      <c r="K12" s="478" t="s">
        <v>342</v>
      </c>
      <c r="L12" s="479"/>
      <c r="M12" s="480">
        <f>'Business Projection'!J64</f>
        <v>315</v>
      </c>
      <c r="N12" s="480">
        <f>'Business Projection'!K64</f>
        <v>315</v>
      </c>
      <c r="O12" s="480">
        <f>'Business Projection'!L64</f>
        <v>315</v>
      </c>
      <c r="P12" s="480">
        <f>'Business Projection'!M64</f>
        <v>315</v>
      </c>
      <c r="Q12" s="480">
        <f>'Business Projection'!N64</f>
        <v>315</v>
      </c>
      <c r="R12" s="480">
        <f>'Business Projection'!O64</f>
        <v>315</v>
      </c>
      <c r="S12" s="480">
        <f>'Business Projection'!P64</f>
        <v>315</v>
      </c>
      <c r="T12" s="480">
        <f>'Business Projection'!Q64</f>
        <v>315</v>
      </c>
      <c r="U12" s="480">
        <f>'Business Projection'!R64</f>
        <v>315</v>
      </c>
      <c r="V12" s="480">
        <f>'Business Projection'!S64</f>
        <v>315</v>
      </c>
      <c r="W12" s="480">
        <f>'Business Projection'!T64</f>
        <v>315</v>
      </c>
      <c r="X12" s="481">
        <f>'Business Projection'!U64</f>
        <v>315</v>
      </c>
    </row>
    <row r="13" spans="1:24">
      <c r="A13" s="8">
        <v>-0.16999999999999979</v>
      </c>
      <c r="B13" s="8">
        <v>-0.16999999999999979</v>
      </c>
      <c r="C13" s="7">
        <v>0.55000000000000004</v>
      </c>
      <c r="D13" s="7">
        <v>0.55000000000000004</v>
      </c>
      <c r="E13" s="45">
        <v>0.125</v>
      </c>
      <c r="K13" s="86"/>
      <c r="L13" s="87">
        <f>'Business Projection'!I5</f>
        <v>44651</v>
      </c>
      <c r="M13" s="87">
        <f>'Business Projection'!J5</f>
        <v>44681</v>
      </c>
      <c r="N13" s="87">
        <f>'Business Projection'!K5</f>
        <v>44712</v>
      </c>
      <c r="O13" s="87">
        <f>'Business Projection'!L5</f>
        <v>44742</v>
      </c>
      <c r="P13" s="87">
        <f>'Business Projection'!M5</f>
        <v>44773</v>
      </c>
      <c r="Q13" s="87">
        <f>'Business Projection'!N5</f>
        <v>44804</v>
      </c>
      <c r="R13" s="87">
        <f>'Business Projection'!O5</f>
        <v>44834</v>
      </c>
      <c r="S13" s="87">
        <f>'Business Projection'!P5</f>
        <v>44865</v>
      </c>
      <c r="T13" s="87">
        <f>'Business Projection'!Q5</f>
        <v>44895</v>
      </c>
      <c r="U13" s="87">
        <f>'Business Projection'!R5</f>
        <v>44926</v>
      </c>
      <c r="V13" s="87">
        <f>'Business Projection'!S5</f>
        <v>44957</v>
      </c>
      <c r="W13" s="87">
        <f>'Business Projection'!T5</f>
        <v>44985</v>
      </c>
      <c r="X13" s="88">
        <f>'Business Projection'!U5</f>
        <v>45016</v>
      </c>
    </row>
    <row r="14" spans="1:24">
      <c r="A14" s="8">
        <v>-0.13999999999999979</v>
      </c>
      <c r="B14" s="8">
        <v>-0.13999999999999979</v>
      </c>
      <c r="C14" s="7">
        <v>0.6</v>
      </c>
      <c r="D14" s="7">
        <v>0.6</v>
      </c>
      <c r="E14" s="45"/>
      <c r="K14" s="89" t="str">
        <f>F2</f>
        <v>Monthly</v>
      </c>
      <c r="L14" s="90"/>
      <c r="M14" s="90">
        <f>M12</f>
        <v>315</v>
      </c>
      <c r="N14" s="90">
        <f t="shared" ref="N14:X14" si="0">N12</f>
        <v>315</v>
      </c>
      <c r="O14" s="90">
        <f t="shared" si="0"/>
        <v>315</v>
      </c>
      <c r="P14" s="90">
        <f t="shared" si="0"/>
        <v>315</v>
      </c>
      <c r="Q14" s="90">
        <f t="shared" si="0"/>
        <v>315</v>
      </c>
      <c r="R14" s="90">
        <f t="shared" si="0"/>
        <v>315</v>
      </c>
      <c r="S14" s="90">
        <f t="shared" si="0"/>
        <v>315</v>
      </c>
      <c r="T14" s="90">
        <f t="shared" si="0"/>
        <v>315</v>
      </c>
      <c r="U14" s="90">
        <f t="shared" si="0"/>
        <v>315</v>
      </c>
      <c r="V14" s="90">
        <f t="shared" si="0"/>
        <v>315</v>
      </c>
      <c r="W14" s="90">
        <f t="shared" si="0"/>
        <v>315</v>
      </c>
      <c r="X14" s="91">
        <f t="shared" si="0"/>
        <v>315</v>
      </c>
    </row>
    <row r="15" spans="1:24">
      <c r="A15" s="8">
        <v>-0.10999999999999979</v>
      </c>
      <c r="B15" s="8">
        <v>-0.10999999999999979</v>
      </c>
      <c r="C15" s="7">
        <v>0.65</v>
      </c>
      <c r="D15" s="7">
        <v>0.65</v>
      </c>
      <c r="E15" s="45"/>
      <c r="K15" s="89" t="str">
        <f>F3</f>
        <v>Quarterly</v>
      </c>
      <c r="L15" s="90"/>
      <c r="M15" s="90">
        <f>SUM(M12:O12)</f>
        <v>945</v>
      </c>
      <c r="N15" s="90"/>
      <c r="O15" s="90"/>
      <c r="P15" s="90">
        <f>SUM(P12:R12)</f>
        <v>945</v>
      </c>
      <c r="Q15" s="90"/>
      <c r="R15" s="90"/>
      <c r="S15" s="90">
        <f>SUM(S12:U12)</f>
        <v>945</v>
      </c>
      <c r="T15" s="90"/>
      <c r="U15" s="90"/>
      <c r="V15" s="90">
        <f>SUM(V12:X12)</f>
        <v>945</v>
      </c>
      <c r="W15" s="90"/>
      <c r="X15" s="91"/>
    </row>
    <row r="16" spans="1:24">
      <c r="A16" s="8">
        <v>-7.9999999999999793E-2</v>
      </c>
      <c r="B16" s="8">
        <v>-7.9999999999999793E-2</v>
      </c>
      <c r="C16" s="7">
        <v>0.7</v>
      </c>
      <c r="D16" s="7">
        <v>0.7</v>
      </c>
      <c r="K16" s="89" t="str">
        <f>F4</f>
        <v>Semi Annual</v>
      </c>
      <c r="L16" s="90"/>
      <c r="M16" s="90">
        <f>SUM(M14:R14)</f>
        <v>1890</v>
      </c>
      <c r="N16" s="90"/>
      <c r="O16" s="90"/>
      <c r="P16" s="90"/>
      <c r="Q16" s="90"/>
      <c r="R16" s="90"/>
      <c r="S16" s="90">
        <f>SUM(S14:X14)</f>
        <v>1890</v>
      </c>
      <c r="T16" s="90"/>
      <c r="U16" s="90"/>
      <c r="V16" s="90"/>
      <c r="W16" s="90"/>
      <c r="X16" s="91"/>
    </row>
    <row r="17" spans="1:25" ht="13.5" thickBot="1">
      <c r="A17" s="8">
        <v>-4.9999999999999795E-2</v>
      </c>
      <c r="B17" s="8">
        <v>-4.9999999999999795E-2</v>
      </c>
      <c r="C17" s="7">
        <v>0.75</v>
      </c>
      <c r="D17" s="7">
        <v>0.75</v>
      </c>
      <c r="K17" s="92" t="str">
        <f>F5</f>
        <v>Annual</v>
      </c>
      <c r="L17" s="93"/>
      <c r="M17" s="93">
        <f>SUM(M14:X14)</f>
        <v>3780</v>
      </c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4"/>
    </row>
    <row r="18" spans="1:25">
      <c r="A18" s="8">
        <v>-1.9999999999999796E-2</v>
      </c>
      <c r="B18" s="8">
        <v>-1.9999999999999796E-2</v>
      </c>
      <c r="C18" s="7">
        <v>0.8</v>
      </c>
      <c r="D18" s="7">
        <v>0.8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spans="1:25">
      <c r="A19" s="8">
        <v>0</v>
      </c>
      <c r="B19" s="8">
        <v>0</v>
      </c>
      <c r="C19" s="7">
        <v>0.85</v>
      </c>
      <c r="D19" s="7">
        <v>0.85</v>
      </c>
      <c r="K19" s="262"/>
      <c r="L19" s="34"/>
      <c r="M19" s="263"/>
      <c r="N19" s="263"/>
      <c r="O19" s="263"/>
      <c r="P19" s="263"/>
      <c r="Q19" s="263"/>
      <c r="R19" s="263"/>
      <c r="S19" s="263"/>
      <c r="T19" s="263"/>
      <c r="U19" s="263"/>
      <c r="V19" s="263"/>
      <c r="W19" s="263"/>
      <c r="X19" s="263"/>
      <c r="Y19" s="34"/>
    </row>
    <row r="20" spans="1:25">
      <c r="A20" s="8">
        <v>1.0000000000000203E-2</v>
      </c>
      <c r="B20" s="8">
        <v>1.0000000000000203E-2</v>
      </c>
      <c r="C20" s="7">
        <v>0.9</v>
      </c>
      <c r="D20" s="7">
        <v>0.9</v>
      </c>
      <c r="K20" s="264"/>
      <c r="L20" s="265"/>
      <c r="M20" s="265"/>
      <c r="N20" s="265"/>
      <c r="O20" s="265"/>
      <c r="P20" s="265"/>
      <c r="Q20" s="265"/>
      <c r="R20" s="265"/>
      <c r="S20" s="265"/>
      <c r="T20" s="265"/>
      <c r="U20" s="265"/>
      <c r="V20" s="265"/>
      <c r="W20" s="265"/>
      <c r="X20" s="265"/>
      <c r="Y20" s="34"/>
    </row>
    <row r="21" spans="1:25">
      <c r="A21" s="8">
        <v>4.0000000000000202E-2</v>
      </c>
      <c r="B21" s="8">
        <v>4.0000000000000202E-2</v>
      </c>
      <c r="C21" s="7">
        <v>0.95</v>
      </c>
      <c r="D21" s="7">
        <v>0.95</v>
      </c>
      <c r="K21" s="266"/>
      <c r="L21" s="267"/>
      <c r="M21" s="267"/>
      <c r="N21" s="267"/>
      <c r="O21" s="267"/>
      <c r="P21" s="267"/>
      <c r="Q21" s="267"/>
      <c r="R21" s="267"/>
      <c r="S21" s="267"/>
      <c r="T21" s="267"/>
      <c r="U21" s="267"/>
      <c r="V21" s="267"/>
      <c r="W21" s="267"/>
      <c r="X21" s="267"/>
      <c r="Y21" s="34"/>
    </row>
    <row r="22" spans="1:25">
      <c r="A22" s="8">
        <v>7.0000000000000201E-2</v>
      </c>
      <c r="B22" s="8">
        <v>7.0000000000000201E-2</v>
      </c>
      <c r="C22" s="7">
        <v>1</v>
      </c>
      <c r="D22" s="7">
        <v>1</v>
      </c>
      <c r="K22" s="266"/>
      <c r="L22" s="267"/>
      <c r="M22" s="267"/>
      <c r="N22" s="267"/>
      <c r="O22" s="267"/>
      <c r="P22" s="267"/>
      <c r="Q22" s="267"/>
      <c r="R22" s="267"/>
      <c r="S22" s="267"/>
      <c r="T22" s="267"/>
      <c r="U22" s="267"/>
      <c r="V22" s="267"/>
      <c r="W22" s="267"/>
      <c r="X22" s="267"/>
      <c r="Y22" s="34"/>
    </row>
    <row r="23" spans="1:25">
      <c r="A23" s="8">
        <v>0.1000000000000002</v>
      </c>
      <c r="B23" s="8">
        <v>0.1000000000000002</v>
      </c>
      <c r="K23" s="266"/>
      <c r="L23" s="267"/>
      <c r="M23" s="267"/>
      <c r="N23" s="267"/>
      <c r="O23" s="267"/>
      <c r="P23" s="267"/>
      <c r="Q23" s="267"/>
      <c r="R23" s="267"/>
      <c r="S23" s="267"/>
      <c r="T23" s="267"/>
      <c r="U23" s="267"/>
      <c r="V23" s="267"/>
      <c r="W23" s="267"/>
      <c r="X23" s="267"/>
      <c r="Y23" s="34"/>
    </row>
    <row r="24" spans="1:25">
      <c r="A24" s="8">
        <v>0.1300000000000002</v>
      </c>
      <c r="B24" s="8">
        <v>0.1300000000000002</v>
      </c>
      <c r="K24" s="266"/>
      <c r="L24" s="267"/>
      <c r="M24" s="267"/>
      <c r="N24" s="267"/>
      <c r="O24" s="267"/>
      <c r="P24" s="267"/>
      <c r="Q24" s="267"/>
      <c r="R24" s="267"/>
      <c r="S24" s="267"/>
      <c r="T24" s="267"/>
      <c r="U24" s="267"/>
      <c r="V24" s="267"/>
      <c r="W24" s="267"/>
      <c r="X24" s="267"/>
      <c r="Y24" s="34"/>
    </row>
    <row r="25" spans="1:25">
      <c r="A25" s="8">
        <v>0.1600000000000002</v>
      </c>
      <c r="B25" s="8">
        <v>0.1600000000000002</v>
      </c>
      <c r="H25" s="45"/>
      <c r="I25" s="45"/>
    </row>
    <row r="26" spans="1:25">
      <c r="A26" s="8">
        <v>0.1900000000000002</v>
      </c>
      <c r="B26" s="8">
        <v>0.1900000000000002</v>
      </c>
      <c r="H26" s="45"/>
      <c r="I26" s="45"/>
      <c r="K26" s="268"/>
      <c r="L26" s="266"/>
      <c r="M26" s="267"/>
      <c r="N26" s="267"/>
      <c r="O26" s="267"/>
      <c r="P26" s="267"/>
      <c r="Q26" s="267"/>
      <c r="R26" s="267"/>
      <c r="S26" s="267"/>
      <c r="T26" s="267"/>
      <c r="U26" s="267"/>
      <c r="V26" s="267"/>
      <c r="W26" s="267"/>
      <c r="X26" s="267"/>
      <c r="Y26" s="266"/>
    </row>
    <row r="27" spans="1:25">
      <c r="A27" s="8">
        <v>0.2200000000000002</v>
      </c>
      <c r="B27" s="8">
        <v>0.2200000000000002</v>
      </c>
      <c r="H27" s="45"/>
      <c r="I27" s="45"/>
      <c r="K27" s="264"/>
      <c r="L27" s="265"/>
      <c r="M27" s="265"/>
      <c r="N27" s="265"/>
      <c r="O27" s="265"/>
      <c r="P27" s="265"/>
      <c r="Q27" s="265"/>
      <c r="R27" s="265"/>
      <c r="S27" s="265"/>
      <c r="T27" s="265"/>
      <c r="U27" s="265"/>
      <c r="V27" s="265"/>
      <c r="W27" s="265"/>
      <c r="X27" s="265"/>
      <c r="Y27" s="266"/>
    </row>
    <row r="28" spans="1:25">
      <c r="A28" s="8">
        <v>0.25000000000000022</v>
      </c>
      <c r="B28" s="8">
        <v>0.25000000000000022</v>
      </c>
      <c r="H28" s="45"/>
      <c r="I28" s="45"/>
      <c r="K28" s="266"/>
      <c r="L28" s="267"/>
      <c r="M28" s="267"/>
      <c r="N28" s="267"/>
      <c r="O28" s="267"/>
      <c r="P28" s="267"/>
      <c r="Q28" s="267"/>
      <c r="R28" s="267"/>
      <c r="S28" s="267"/>
      <c r="T28" s="267"/>
      <c r="U28" s="267"/>
      <c r="V28" s="267"/>
      <c r="W28" s="267"/>
      <c r="X28" s="267"/>
      <c r="Y28" s="266"/>
    </row>
    <row r="29" spans="1:25">
      <c r="A29" s="8">
        <v>0.28000000000000025</v>
      </c>
      <c r="B29" s="8">
        <v>0.28000000000000025</v>
      </c>
      <c r="H29" s="45"/>
      <c r="I29" s="45"/>
      <c r="K29" s="266"/>
      <c r="L29" s="267"/>
      <c r="M29" s="267"/>
      <c r="N29" s="267"/>
      <c r="O29" s="267"/>
      <c r="P29" s="267"/>
      <c r="Q29" s="267"/>
      <c r="R29" s="267"/>
      <c r="S29" s="267"/>
      <c r="T29" s="267"/>
      <c r="U29" s="267"/>
      <c r="V29" s="267"/>
      <c r="W29" s="267"/>
      <c r="X29" s="267"/>
      <c r="Y29" s="266"/>
    </row>
    <row r="30" spans="1:25">
      <c r="A30" s="8">
        <v>0.31000000000000028</v>
      </c>
      <c r="B30" s="8">
        <v>0.31000000000000028</v>
      </c>
      <c r="H30" s="45"/>
      <c r="I30" s="45"/>
      <c r="K30" s="266"/>
      <c r="L30" s="267"/>
      <c r="M30" s="267"/>
      <c r="N30" s="267"/>
      <c r="O30" s="267"/>
      <c r="P30" s="267"/>
      <c r="Q30" s="267"/>
      <c r="R30" s="267"/>
      <c r="S30" s="267"/>
      <c r="T30" s="267"/>
      <c r="U30" s="267"/>
      <c r="V30" s="267"/>
      <c r="W30" s="267"/>
      <c r="X30" s="267"/>
      <c r="Y30" s="266"/>
    </row>
    <row r="31" spans="1:25">
      <c r="A31" s="8">
        <v>0.3400000000000003</v>
      </c>
      <c r="B31" s="8">
        <v>0.3400000000000003</v>
      </c>
      <c r="H31" s="45"/>
      <c r="I31" s="45"/>
      <c r="K31" s="266"/>
      <c r="L31" s="267"/>
      <c r="M31" s="267"/>
      <c r="N31" s="267"/>
      <c r="O31" s="267"/>
      <c r="P31" s="267"/>
      <c r="Q31" s="267"/>
      <c r="R31" s="267"/>
      <c r="S31" s="267"/>
      <c r="T31" s="267"/>
      <c r="U31" s="267"/>
      <c r="V31" s="267"/>
      <c r="W31" s="267"/>
      <c r="X31" s="267"/>
      <c r="Y31" s="266"/>
    </row>
    <row r="32" spans="1:25">
      <c r="A32" s="8">
        <v>0.37000000000000033</v>
      </c>
      <c r="B32" s="8">
        <v>0.37000000000000033</v>
      </c>
      <c r="H32" s="45"/>
      <c r="I32" s="45"/>
    </row>
    <row r="33" spans="1:16">
      <c r="A33" s="8">
        <v>0.40000000000000036</v>
      </c>
      <c r="B33" s="8">
        <v>0.40000000000000036</v>
      </c>
      <c r="H33" s="45"/>
      <c r="I33" s="45"/>
      <c r="J33" s="34"/>
      <c r="K33" s="268"/>
      <c r="L33" s="266"/>
      <c r="M33" s="266"/>
      <c r="N33" s="266"/>
      <c r="O33" s="266"/>
      <c r="P33" s="85"/>
    </row>
    <row r="34" spans="1:16">
      <c r="A34" s="8">
        <v>0.43000000000000038</v>
      </c>
      <c r="B34" s="8">
        <v>0.43000000000000038</v>
      </c>
      <c r="H34" s="45"/>
      <c r="I34" s="45"/>
      <c r="J34" s="34"/>
      <c r="K34" s="187"/>
      <c r="L34" s="187"/>
      <c r="M34" s="187"/>
      <c r="N34" s="187"/>
      <c r="O34" s="187"/>
      <c r="P34" s="85"/>
    </row>
    <row r="35" spans="1:16">
      <c r="A35" s="8">
        <v>0.46000000000000041</v>
      </c>
      <c r="B35" s="8">
        <v>0.46000000000000041</v>
      </c>
      <c r="H35" s="45"/>
      <c r="I35" s="45"/>
      <c r="J35" s="34"/>
      <c r="K35" s="266"/>
      <c r="L35" s="267"/>
      <c r="M35" s="267"/>
      <c r="N35" s="267"/>
      <c r="O35" s="267"/>
      <c r="P35" s="85"/>
    </row>
    <row r="36" spans="1:16">
      <c r="A36" s="8">
        <v>0.49000000000000044</v>
      </c>
      <c r="B36" s="8">
        <v>0.49000000000000044</v>
      </c>
      <c r="H36" s="45"/>
      <c r="I36" s="45"/>
      <c r="J36" s="34"/>
      <c r="K36" s="266"/>
      <c r="L36" s="267"/>
      <c r="M36" s="267"/>
      <c r="N36" s="267"/>
      <c r="O36" s="267"/>
      <c r="P36" s="85"/>
    </row>
    <row r="37" spans="1:16">
      <c r="A37" s="8">
        <v>0.52000000000000046</v>
      </c>
      <c r="B37" s="8">
        <v>0.52000000000000046</v>
      </c>
      <c r="H37" s="45"/>
      <c r="I37" s="45"/>
      <c r="J37" s="34"/>
      <c r="K37" s="266"/>
      <c r="L37" s="267"/>
      <c r="M37" s="267"/>
      <c r="N37" s="267"/>
      <c r="O37" s="267"/>
      <c r="P37" s="85"/>
    </row>
    <row r="38" spans="1:16">
      <c r="A38" s="8">
        <v>0.55000000000000049</v>
      </c>
      <c r="B38" s="8">
        <v>0.55000000000000049</v>
      </c>
      <c r="H38" s="45"/>
      <c r="I38" s="45"/>
      <c r="J38" s="34"/>
      <c r="K38" s="266"/>
      <c r="L38" s="267"/>
      <c r="M38" s="267"/>
      <c r="N38" s="267"/>
      <c r="O38" s="267"/>
      <c r="P38" s="85"/>
    </row>
    <row r="39" spans="1:16">
      <c r="A39" s="8">
        <v>0.58000000000000052</v>
      </c>
      <c r="B39" s="8">
        <v>0.58000000000000052</v>
      </c>
      <c r="H39" s="45"/>
      <c r="I39" s="45"/>
      <c r="J39" s="34"/>
      <c r="K39" s="266"/>
      <c r="L39" s="267"/>
      <c r="M39" s="267"/>
      <c r="N39" s="267"/>
      <c r="O39" s="267"/>
      <c r="P39" s="85"/>
    </row>
    <row r="40" spans="1:16">
      <c r="A40" s="8">
        <v>0.61000000000000054</v>
      </c>
      <c r="B40" s="8">
        <v>0.61000000000000054</v>
      </c>
      <c r="H40" s="45"/>
      <c r="I40" s="45"/>
      <c r="J40" s="34"/>
      <c r="K40" s="266"/>
      <c r="L40" s="266"/>
      <c r="M40" s="266"/>
      <c r="N40" s="266"/>
      <c r="O40" s="266"/>
      <c r="P40" s="85"/>
    </row>
    <row r="41" spans="1:16">
      <c r="A41" s="8"/>
      <c r="J41" s="34"/>
      <c r="K41" s="34"/>
      <c r="L41" s="34"/>
      <c r="M41" s="34"/>
      <c r="N41" s="34"/>
      <c r="O41" s="34"/>
    </row>
    <row r="42" spans="1:16">
      <c r="A42" s="8"/>
    </row>
    <row r="43" spans="1:16">
      <c r="A43" s="8" t="s">
        <v>119</v>
      </c>
      <c r="B43" t="s">
        <v>255</v>
      </c>
    </row>
    <row r="44" spans="1:16">
      <c r="A44" s="8"/>
    </row>
    <row r="45" spans="1:16">
      <c r="A45" s="8"/>
    </row>
    <row r="46" spans="1:16">
      <c r="A46" s="8"/>
    </row>
    <row r="47" spans="1:16">
      <c r="A47" s="8"/>
    </row>
    <row r="48" spans="1:16">
      <c r="A48" s="8"/>
    </row>
    <row r="49" spans="1:1">
      <c r="A49" s="8"/>
    </row>
    <row r="50" spans="1:1">
      <c r="A50" s="8"/>
    </row>
  </sheetData>
  <sheetProtection algorithmName="SHA-512" hashValue="U1TzTtn5TmWm1jwg5vO6Hcg6KwooZ1o7fol0RleLyiLqbHX7BQX/ZG1mOi7yGtCvQqT2ujmKt6kq5FrW+7TTNg==" saltValue="MnlUZ32tI66QA89Ifj8Tbg==" spinCount="100000" sheet="1" objects="1" scenarios="1"/>
  <pageMargins left="0.7" right="0.7" top="0.75" bottom="0.75" header="0.3" footer="0.3"/>
  <customProperties>
    <customPr name="EpmWorksheetKeyString_GUID" r:id="rId1"/>
  </customProperties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7F38D-1D44-4C58-9C60-A96F8096ADD0}">
  <dimension ref="A1:BD814"/>
  <sheetViews>
    <sheetView topLeftCell="A66" zoomScaleNormal="100" workbookViewId="0">
      <selection activeCell="A77" sqref="A77:C86"/>
    </sheetView>
  </sheetViews>
  <sheetFormatPr defaultRowHeight="15.75"/>
  <cols>
    <col min="1" max="1" width="29.7109375" style="307" customWidth="1"/>
    <col min="2" max="2" width="22.85546875" style="307" customWidth="1"/>
    <col min="3" max="3" width="24.7109375" style="307" customWidth="1"/>
    <col min="4" max="4" width="20.42578125" style="307" customWidth="1"/>
    <col min="5" max="5" width="13.5703125" style="307" bestFit="1" customWidth="1"/>
    <col min="6" max="7" width="12.7109375" style="307" bestFit="1" customWidth="1"/>
    <col min="8" max="8" width="10.7109375" style="307" bestFit="1" customWidth="1"/>
    <col min="9" max="9" width="14.85546875" style="307" customWidth="1"/>
    <col min="10" max="10" width="13.28515625" style="307" customWidth="1"/>
    <col min="11" max="11" width="13.5703125" style="307" bestFit="1" customWidth="1"/>
    <col min="12" max="12" width="9.140625" style="307"/>
    <col min="13" max="13" width="11.28515625" style="307" bestFit="1" customWidth="1"/>
    <col min="14" max="14" width="9.140625" style="307"/>
    <col min="15" max="15" width="12.140625" style="307" customWidth="1"/>
    <col min="16" max="16" width="11.7109375" style="307" customWidth="1"/>
    <col min="17" max="17" width="14.5703125" style="307" customWidth="1"/>
    <col min="18" max="18" width="12.5703125" style="307" customWidth="1"/>
    <col min="19" max="19" width="14.140625" style="307" customWidth="1"/>
    <col min="20" max="20" width="15.28515625" style="307" customWidth="1"/>
    <col min="21" max="21" width="13.28515625" style="307" customWidth="1"/>
    <col min="22" max="22" width="15" style="307" customWidth="1"/>
    <col min="23" max="23" width="12" style="307" customWidth="1"/>
    <col min="24" max="16384" width="9.140625" style="307"/>
  </cols>
  <sheetData>
    <row r="1" spans="1:22" ht="16.5" thickBot="1"/>
    <row r="2" spans="1:22" ht="16.5" thickBot="1">
      <c r="A2" s="1040" t="s">
        <v>175</v>
      </c>
      <c r="B2" s="1038" t="s">
        <v>176</v>
      </c>
      <c r="C2" s="1036" t="s">
        <v>177</v>
      </c>
      <c r="D2" s="1034" t="s">
        <v>178</v>
      </c>
      <c r="E2" s="1021" t="s">
        <v>354</v>
      </c>
      <c r="F2" s="1022"/>
      <c r="G2" s="1022"/>
      <c r="H2" s="1023"/>
      <c r="I2" s="1042" t="s">
        <v>179</v>
      </c>
      <c r="J2" s="1013" t="s">
        <v>180</v>
      </c>
      <c r="K2" s="1013"/>
      <c r="L2" s="1013"/>
      <c r="M2" s="1013"/>
      <c r="N2" s="1013"/>
      <c r="O2" s="1013"/>
      <c r="P2" s="1013"/>
      <c r="Q2" s="1013"/>
      <c r="R2" s="1013"/>
      <c r="S2" s="1027"/>
      <c r="T2" s="1012" t="s">
        <v>262</v>
      </c>
      <c r="U2" s="1013"/>
      <c r="V2" s="1027"/>
    </row>
    <row r="3" spans="1:22" ht="16.5" thickBot="1">
      <c r="A3" s="1041"/>
      <c r="B3" s="1039"/>
      <c r="C3" s="1037"/>
      <c r="D3" s="1035"/>
      <c r="E3" s="710" t="s">
        <v>128</v>
      </c>
      <c r="F3" s="709" t="s">
        <v>181</v>
      </c>
      <c r="G3" s="709" t="s">
        <v>130</v>
      </c>
      <c r="H3" s="308">
        <v>1010</v>
      </c>
      <c r="I3" s="1008"/>
      <c r="J3" s="706" t="s">
        <v>131</v>
      </c>
      <c r="K3" s="308" t="s">
        <v>132</v>
      </c>
      <c r="L3" s="308" t="s">
        <v>133</v>
      </c>
      <c r="M3" s="308" t="s">
        <v>140</v>
      </c>
      <c r="N3" s="308" t="s">
        <v>139</v>
      </c>
      <c r="O3" s="308" t="s">
        <v>134</v>
      </c>
      <c r="P3" s="308" t="s">
        <v>135</v>
      </c>
      <c r="Q3" s="309" t="s">
        <v>141</v>
      </c>
      <c r="R3" s="310" t="s">
        <v>142</v>
      </c>
      <c r="S3" s="311" t="s">
        <v>437</v>
      </c>
      <c r="T3" s="280" t="s">
        <v>136</v>
      </c>
      <c r="U3" s="281" t="s">
        <v>137</v>
      </c>
      <c r="V3" s="282" t="s">
        <v>138</v>
      </c>
    </row>
    <row r="4" spans="1:22">
      <c r="A4" s="312">
        <v>1</v>
      </c>
      <c r="B4" s="313" t="s">
        <v>182</v>
      </c>
      <c r="C4" s="313">
        <v>50</v>
      </c>
      <c r="D4" s="434">
        <f>E4+F4+G4+H4</f>
        <v>60</v>
      </c>
      <c r="E4" s="314">
        <v>20</v>
      </c>
      <c r="F4" s="313">
        <v>20</v>
      </c>
      <c r="G4" s="313">
        <v>0</v>
      </c>
      <c r="H4" s="315">
        <v>20</v>
      </c>
      <c r="I4" s="438">
        <v>0</v>
      </c>
      <c r="J4" s="314"/>
      <c r="K4" s="313"/>
      <c r="L4" s="313"/>
      <c r="M4" s="313"/>
      <c r="N4" s="313"/>
      <c r="O4" s="316"/>
      <c r="P4" s="316"/>
      <c r="Q4" s="317"/>
      <c r="R4" s="318"/>
      <c r="S4" s="319"/>
      <c r="T4" s="320">
        <v>20</v>
      </c>
      <c r="U4" s="318">
        <v>20</v>
      </c>
      <c r="V4" s="319">
        <v>0</v>
      </c>
    </row>
    <row r="5" spans="1:22">
      <c r="A5" s="714">
        <v>2</v>
      </c>
      <c r="B5" s="321" t="s">
        <v>183</v>
      </c>
      <c r="C5" s="321">
        <v>30</v>
      </c>
      <c r="D5" s="435">
        <f>E5+F5+G5+H5</f>
        <v>40</v>
      </c>
      <c r="E5" s="322">
        <v>10</v>
      </c>
      <c r="F5" s="321">
        <v>10</v>
      </c>
      <c r="G5" s="321">
        <v>10</v>
      </c>
      <c r="H5" s="323">
        <v>10</v>
      </c>
      <c r="I5" s="439">
        <v>0</v>
      </c>
      <c r="J5" s="322"/>
      <c r="K5" s="321"/>
      <c r="L5" s="321"/>
      <c r="M5" s="321"/>
      <c r="N5" s="321"/>
      <c r="O5" s="318"/>
      <c r="P5" s="318"/>
      <c r="Q5" s="324"/>
      <c r="R5" s="318"/>
      <c r="S5" s="319"/>
      <c r="T5" s="320">
        <v>10</v>
      </c>
      <c r="U5" s="318">
        <v>10</v>
      </c>
      <c r="V5" s="319">
        <v>10</v>
      </c>
    </row>
    <row r="6" spans="1:22">
      <c r="A6" s="714">
        <v>3</v>
      </c>
      <c r="B6" s="321" t="s">
        <v>184</v>
      </c>
      <c r="C6" s="321">
        <v>40</v>
      </c>
      <c r="D6" s="435">
        <f t="shared" ref="D6:D63" si="0">E6+F6+G6+H6</f>
        <v>60</v>
      </c>
      <c r="E6" s="322">
        <v>20</v>
      </c>
      <c r="F6" s="321">
        <v>20</v>
      </c>
      <c r="G6" s="321">
        <v>10</v>
      </c>
      <c r="H6" s="323">
        <v>10</v>
      </c>
      <c r="I6" s="439">
        <v>0</v>
      </c>
      <c r="J6" s="322"/>
      <c r="K6" s="321"/>
      <c r="L6" s="321"/>
      <c r="M6" s="321"/>
      <c r="N6" s="321"/>
      <c r="O6" s="318"/>
      <c r="P6" s="318"/>
      <c r="Q6" s="324"/>
      <c r="R6" s="318"/>
      <c r="S6" s="319"/>
      <c r="T6" s="320">
        <v>20</v>
      </c>
      <c r="U6" s="318">
        <v>20</v>
      </c>
      <c r="V6" s="319">
        <v>10</v>
      </c>
    </row>
    <row r="7" spans="1:22">
      <c r="A7" s="714">
        <v>4</v>
      </c>
      <c r="B7" s="321" t="s">
        <v>186</v>
      </c>
      <c r="C7" s="321">
        <v>20</v>
      </c>
      <c r="D7" s="435">
        <f t="shared" si="0"/>
        <v>20</v>
      </c>
      <c r="E7" s="322">
        <v>10</v>
      </c>
      <c r="F7" s="321">
        <v>10</v>
      </c>
      <c r="G7" s="321">
        <v>0</v>
      </c>
      <c r="H7" s="323"/>
      <c r="I7" s="439">
        <v>0</v>
      </c>
      <c r="J7" s="322"/>
      <c r="K7" s="321"/>
      <c r="L7" s="321"/>
      <c r="M7" s="321"/>
      <c r="N7" s="321"/>
      <c r="O7" s="318"/>
      <c r="P7" s="318"/>
      <c r="Q7" s="324"/>
      <c r="R7" s="318"/>
      <c r="S7" s="319"/>
      <c r="T7" s="320">
        <v>10</v>
      </c>
      <c r="U7" s="318">
        <v>10</v>
      </c>
      <c r="V7" s="319">
        <v>0</v>
      </c>
    </row>
    <row r="8" spans="1:22">
      <c r="A8" s="714">
        <v>5</v>
      </c>
      <c r="B8" s="321" t="s">
        <v>188</v>
      </c>
      <c r="C8" s="321">
        <v>40</v>
      </c>
      <c r="D8" s="435">
        <f t="shared" si="0"/>
        <v>50</v>
      </c>
      <c r="E8" s="322">
        <v>10</v>
      </c>
      <c r="F8" s="321">
        <v>10</v>
      </c>
      <c r="G8" s="321">
        <v>20</v>
      </c>
      <c r="H8" s="323">
        <v>10</v>
      </c>
      <c r="I8" s="439">
        <f>J8+K8+L8+M8+N8</f>
        <v>5.5</v>
      </c>
      <c r="J8" s="322">
        <v>1.5</v>
      </c>
      <c r="K8" s="321">
        <v>1.5</v>
      </c>
      <c r="L8" s="321">
        <v>1.5</v>
      </c>
      <c r="M8" s="321"/>
      <c r="N8" s="321">
        <v>1</v>
      </c>
      <c r="O8" s="318">
        <v>1.5</v>
      </c>
      <c r="P8" s="318">
        <v>1.5</v>
      </c>
      <c r="Q8" s="324">
        <v>1.5</v>
      </c>
      <c r="R8" s="318"/>
      <c r="S8" s="319">
        <v>1</v>
      </c>
      <c r="T8" s="320">
        <v>10</v>
      </c>
      <c r="U8" s="318">
        <v>10</v>
      </c>
      <c r="V8" s="319">
        <v>20</v>
      </c>
    </row>
    <row r="9" spans="1:22">
      <c r="A9" s="714">
        <v>6</v>
      </c>
      <c r="B9" s="321" t="s">
        <v>189</v>
      </c>
      <c r="C9" s="321">
        <v>25</v>
      </c>
      <c r="D9" s="435">
        <f t="shared" si="0"/>
        <v>25</v>
      </c>
      <c r="E9" s="322">
        <v>10</v>
      </c>
      <c r="F9" s="321">
        <v>5</v>
      </c>
      <c r="G9" s="321">
        <v>5</v>
      </c>
      <c r="H9" s="323">
        <v>5</v>
      </c>
      <c r="I9" s="439">
        <f t="shared" ref="I9:I63" si="1">J9+K9+L9+M9+N9</f>
        <v>4</v>
      </c>
      <c r="J9" s="322">
        <v>1</v>
      </c>
      <c r="K9" s="321">
        <v>1</v>
      </c>
      <c r="L9" s="321">
        <v>1</v>
      </c>
      <c r="M9" s="321"/>
      <c r="N9" s="321">
        <v>1</v>
      </c>
      <c r="O9" s="318">
        <v>1</v>
      </c>
      <c r="P9" s="318">
        <v>1</v>
      </c>
      <c r="Q9" s="324">
        <v>1</v>
      </c>
      <c r="R9" s="318"/>
      <c r="S9" s="319">
        <v>1</v>
      </c>
      <c r="T9" s="320">
        <v>10</v>
      </c>
      <c r="U9" s="318">
        <v>5</v>
      </c>
      <c r="V9" s="319">
        <v>5</v>
      </c>
    </row>
    <row r="10" spans="1:22">
      <c r="A10" s="714">
        <v>7</v>
      </c>
      <c r="B10" s="321" t="s">
        <v>190</v>
      </c>
      <c r="C10" s="321">
        <v>30</v>
      </c>
      <c r="D10" s="435">
        <f t="shared" si="0"/>
        <v>30</v>
      </c>
      <c r="E10" s="322">
        <v>5</v>
      </c>
      <c r="F10" s="321">
        <v>5</v>
      </c>
      <c r="G10" s="321">
        <v>10</v>
      </c>
      <c r="H10" s="323">
        <v>10</v>
      </c>
      <c r="I10" s="439">
        <f t="shared" si="1"/>
        <v>6</v>
      </c>
      <c r="J10" s="322">
        <v>1.5</v>
      </c>
      <c r="K10" s="321">
        <v>1.5</v>
      </c>
      <c r="L10" s="321">
        <v>1.5</v>
      </c>
      <c r="M10" s="321"/>
      <c r="N10" s="321">
        <v>1.5</v>
      </c>
      <c r="O10" s="318">
        <v>1.5</v>
      </c>
      <c r="P10" s="318">
        <v>1.5</v>
      </c>
      <c r="Q10" s="324">
        <v>1.5</v>
      </c>
      <c r="R10" s="318"/>
      <c r="S10" s="319">
        <v>1.5</v>
      </c>
      <c r="T10" s="320">
        <v>5</v>
      </c>
      <c r="U10" s="318">
        <v>5</v>
      </c>
      <c r="V10" s="319">
        <v>10</v>
      </c>
    </row>
    <row r="11" spans="1:22">
      <c r="A11" s="714">
        <v>8</v>
      </c>
      <c r="B11" s="321" t="s">
        <v>191</v>
      </c>
      <c r="C11" s="321">
        <v>40</v>
      </c>
      <c r="D11" s="435">
        <f t="shared" si="0"/>
        <v>40</v>
      </c>
      <c r="E11" s="322">
        <v>10</v>
      </c>
      <c r="F11" s="321">
        <v>10</v>
      </c>
      <c r="G11" s="321">
        <v>10</v>
      </c>
      <c r="H11" s="323">
        <v>10</v>
      </c>
      <c r="I11" s="439">
        <f t="shared" si="1"/>
        <v>7.5</v>
      </c>
      <c r="J11" s="322">
        <v>1.5</v>
      </c>
      <c r="K11" s="321">
        <v>1.5</v>
      </c>
      <c r="L11" s="321">
        <v>1.5</v>
      </c>
      <c r="M11" s="321">
        <v>1.5</v>
      </c>
      <c r="N11" s="321">
        <v>1.5</v>
      </c>
      <c r="O11" s="318">
        <v>1.5</v>
      </c>
      <c r="P11" s="318">
        <v>1.5</v>
      </c>
      <c r="Q11" s="324">
        <v>1.5</v>
      </c>
      <c r="R11" s="318">
        <v>1.5</v>
      </c>
      <c r="S11" s="319">
        <v>1.5</v>
      </c>
      <c r="T11" s="320">
        <v>10</v>
      </c>
      <c r="U11" s="318">
        <v>10</v>
      </c>
      <c r="V11" s="319">
        <v>10</v>
      </c>
    </row>
    <row r="12" spans="1:22">
      <c r="A12" s="714">
        <v>9</v>
      </c>
      <c r="B12" s="321" t="s">
        <v>192</v>
      </c>
      <c r="C12" s="321">
        <v>30</v>
      </c>
      <c r="D12" s="435">
        <f t="shared" si="0"/>
        <v>30</v>
      </c>
      <c r="E12" s="322">
        <v>10</v>
      </c>
      <c r="F12" s="321">
        <v>10</v>
      </c>
      <c r="G12" s="321">
        <v>0</v>
      </c>
      <c r="H12" s="323">
        <v>10</v>
      </c>
      <c r="I12" s="439">
        <f t="shared" si="1"/>
        <v>5</v>
      </c>
      <c r="J12" s="322">
        <v>1</v>
      </c>
      <c r="K12" s="321">
        <v>1</v>
      </c>
      <c r="L12" s="321">
        <v>1</v>
      </c>
      <c r="M12" s="321">
        <v>1</v>
      </c>
      <c r="N12" s="321">
        <v>1</v>
      </c>
      <c r="O12" s="318">
        <v>1</v>
      </c>
      <c r="P12" s="318">
        <v>1</v>
      </c>
      <c r="Q12" s="324">
        <v>1</v>
      </c>
      <c r="R12" s="318">
        <v>1</v>
      </c>
      <c r="S12" s="319">
        <v>1</v>
      </c>
      <c r="T12" s="320">
        <v>10</v>
      </c>
      <c r="U12" s="318">
        <v>10</v>
      </c>
      <c r="V12" s="319">
        <v>0</v>
      </c>
    </row>
    <row r="13" spans="1:22">
      <c r="A13" s="714">
        <v>10</v>
      </c>
      <c r="B13" s="321" t="s">
        <v>193</v>
      </c>
      <c r="C13" s="321">
        <v>20</v>
      </c>
      <c r="D13" s="435">
        <f t="shared" si="0"/>
        <v>20</v>
      </c>
      <c r="E13" s="322">
        <v>5</v>
      </c>
      <c r="F13" s="321">
        <v>5</v>
      </c>
      <c r="G13" s="321">
        <v>5</v>
      </c>
      <c r="H13" s="323">
        <v>5</v>
      </c>
      <c r="I13" s="439">
        <f t="shared" si="1"/>
        <v>2.5</v>
      </c>
      <c r="J13" s="322">
        <v>0.5</v>
      </c>
      <c r="K13" s="321">
        <v>0.5</v>
      </c>
      <c r="L13" s="321">
        <v>0.5</v>
      </c>
      <c r="M13" s="321">
        <v>0.5</v>
      </c>
      <c r="N13" s="321">
        <v>0.5</v>
      </c>
      <c r="O13" s="318">
        <v>0.5</v>
      </c>
      <c r="P13" s="318">
        <v>0.5</v>
      </c>
      <c r="Q13" s="324">
        <v>0.5</v>
      </c>
      <c r="R13" s="318">
        <v>0.5</v>
      </c>
      <c r="S13" s="319">
        <v>0.5</v>
      </c>
      <c r="T13" s="320">
        <v>5</v>
      </c>
      <c r="U13" s="318">
        <v>5</v>
      </c>
      <c r="V13" s="319">
        <v>5</v>
      </c>
    </row>
    <row r="14" spans="1:22">
      <c r="A14" s="714">
        <v>11</v>
      </c>
      <c r="B14" s="321" t="s">
        <v>194</v>
      </c>
      <c r="C14" s="321">
        <v>20</v>
      </c>
      <c r="D14" s="435">
        <f t="shared" si="0"/>
        <v>20</v>
      </c>
      <c r="E14" s="322">
        <v>5</v>
      </c>
      <c r="F14" s="321">
        <v>5</v>
      </c>
      <c r="G14" s="321">
        <v>5</v>
      </c>
      <c r="H14" s="323">
        <v>5</v>
      </c>
      <c r="I14" s="439">
        <f t="shared" si="1"/>
        <v>2.5</v>
      </c>
      <c r="J14" s="322">
        <v>0.5</v>
      </c>
      <c r="K14" s="321">
        <v>0.5</v>
      </c>
      <c r="L14" s="321">
        <v>0.5</v>
      </c>
      <c r="M14" s="321">
        <v>0.5</v>
      </c>
      <c r="N14" s="321">
        <v>0.5</v>
      </c>
      <c r="O14" s="318">
        <v>0.5</v>
      </c>
      <c r="P14" s="318">
        <v>0.5</v>
      </c>
      <c r="Q14" s="324">
        <v>0.5</v>
      </c>
      <c r="R14" s="318">
        <v>0.5</v>
      </c>
      <c r="S14" s="319">
        <v>0.5</v>
      </c>
      <c r="T14" s="320">
        <v>5</v>
      </c>
      <c r="U14" s="318">
        <v>5</v>
      </c>
      <c r="V14" s="319">
        <v>5</v>
      </c>
    </row>
    <row r="15" spans="1:22">
      <c r="A15" s="714">
        <v>12</v>
      </c>
      <c r="B15" s="321" t="s">
        <v>195</v>
      </c>
      <c r="C15" s="321">
        <v>30</v>
      </c>
      <c r="D15" s="435">
        <f t="shared" si="0"/>
        <v>40</v>
      </c>
      <c r="E15" s="322">
        <v>10</v>
      </c>
      <c r="F15" s="321">
        <v>10</v>
      </c>
      <c r="G15" s="321">
        <v>10</v>
      </c>
      <c r="H15" s="323">
        <v>10</v>
      </c>
      <c r="I15" s="439">
        <f t="shared" si="1"/>
        <v>0</v>
      </c>
      <c r="J15" s="322"/>
      <c r="K15" s="321"/>
      <c r="L15" s="321"/>
      <c r="M15" s="321"/>
      <c r="N15" s="321"/>
      <c r="O15" s="318"/>
      <c r="P15" s="318"/>
      <c r="Q15" s="324"/>
      <c r="R15" s="318"/>
      <c r="S15" s="319"/>
      <c r="T15" s="320">
        <v>10</v>
      </c>
      <c r="U15" s="318">
        <v>10</v>
      </c>
      <c r="V15" s="319">
        <v>10</v>
      </c>
    </row>
    <row r="16" spans="1:22">
      <c r="A16" s="714">
        <v>13</v>
      </c>
      <c r="B16" s="321" t="s">
        <v>196</v>
      </c>
      <c r="C16" s="321">
        <v>30</v>
      </c>
      <c r="D16" s="435">
        <f t="shared" si="0"/>
        <v>30</v>
      </c>
      <c r="E16" s="322">
        <v>5</v>
      </c>
      <c r="F16" s="321">
        <v>5</v>
      </c>
      <c r="G16" s="321">
        <v>10</v>
      </c>
      <c r="H16" s="323">
        <v>10</v>
      </c>
      <c r="I16" s="439">
        <f t="shared" si="1"/>
        <v>6</v>
      </c>
      <c r="J16" s="322">
        <v>1.5</v>
      </c>
      <c r="K16" s="321">
        <v>1.5</v>
      </c>
      <c r="L16" s="321">
        <v>1.5</v>
      </c>
      <c r="M16" s="321"/>
      <c r="N16" s="321">
        <v>1.5</v>
      </c>
      <c r="O16" s="318">
        <v>1.5</v>
      </c>
      <c r="P16" s="318">
        <v>1.5</v>
      </c>
      <c r="Q16" s="324">
        <v>1.5</v>
      </c>
      <c r="R16" s="318"/>
      <c r="S16" s="319">
        <v>1.5</v>
      </c>
      <c r="T16" s="320">
        <v>5</v>
      </c>
      <c r="U16" s="318">
        <v>5</v>
      </c>
      <c r="V16" s="319">
        <v>10</v>
      </c>
    </row>
    <row r="17" spans="1:22">
      <c r="A17" s="714">
        <v>14</v>
      </c>
      <c r="B17" s="321" t="s">
        <v>197</v>
      </c>
      <c r="C17" s="321">
        <v>25</v>
      </c>
      <c r="D17" s="435">
        <f t="shared" si="0"/>
        <v>30</v>
      </c>
      <c r="E17" s="322">
        <v>5</v>
      </c>
      <c r="F17" s="321">
        <v>5</v>
      </c>
      <c r="G17" s="321">
        <v>10</v>
      </c>
      <c r="H17" s="323">
        <v>10</v>
      </c>
      <c r="I17" s="439">
        <f t="shared" si="1"/>
        <v>5</v>
      </c>
      <c r="J17" s="322">
        <v>1</v>
      </c>
      <c r="K17" s="321">
        <v>1</v>
      </c>
      <c r="L17" s="321">
        <v>1</v>
      </c>
      <c r="M17" s="321">
        <v>1</v>
      </c>
      <c r="N17" s="321">
        <v>1</v>
      </c>
      <c r="O17" s="318">
        <v>1</v>
      </c>
      <c r="P17" s="318">
        <v>1</v>
      </c>
      <c r="Q17" s="324">
        <v>1</v>
      </c>
      <c r="R17" s="318">
        <v>1</v>
      </c>
      <c r="S17" s="319">
        <v>1</v>
      </c>
      <c r="T17" s="320">
        <v>5</v>
      </c>
      <c r="U17" s="318">
        <v>5</v>
      </c>
      <c r="V17" s="319">
        <v>10</v>
      </c>
    </row>
    <row r="18" spans="1:22">
      <c r="A18" s="714">
        <v>15</v>
      </c>
      <c r="B18" s="321" t="s">
        <v>198</v>
      </c>
      <c r="C18" s="321">
        <v>30</v>
      </c>
      <c r="D18" s="435">
        <f t="shared" si="0"/>
        <v>30</v>
      </c>
      <c r="E18" s="322">
        <v>5</v>
      </c>
      <c r="F18" s="321">
        <v>5</v>
      </c>
      <c r="G18" s="321">
        <v>10</v>
      </c>
      <c r="H18" s="323">
        <v>10</v>
      </c>
      <c r="I18" s="439">
        <f t="shared" si="1"/>
        <v>5</v>
      </c>
      <c r="J18" s="322">
        <v>1</v>
      </c>
      <c r="K18" s="321">
        <v>1</v>
      </c>
      <c r="L18" s="321">
        <v>1</v>
      </c>
      <c r="M18" s="321">
        <v>1</v>
      </c>
      <c r="N18" s="321">
        <v>1</v>
      </c>
      <c r="O18" s="318">
        <v>1</v>
      </c>
      <c r="P18" s="318">
        <v>1</v>
      </c>
      <c r="Q18" s="324">
        <v>1</v>
      </c>
      <c r="R18" s="318">
        <v>1</v>
      </c>
      <c r="S18" s="319">
        <v>1</v>
      </c>
      <c r="T18" s="320">
        <v>5</v>
      </c>
      <c r="U18" s="318">
        <v>5</v>
      </c>
      <c r="V18" s="319">
        <v>10</v>
      </c>
    </row>
    <row r="19" spans="1:22">
      <c r="A19" s="714">
        <v>16</v>
      </c>
      <c r="B19" s="321" t="s">
        <v>199</v>
      </c>
      <c r="C19" s="321">
        <v>20</v>
      </c>
      <c r="D19" s="435">
        <f t="shared" si="0"/>
        <v>25</v>
      </c>
      <c r="E19" s="322">
        <v>5</v>
      </c>
      <c r="F19" s="321">
        <v>0</v>
      </c>
      <c r="G19" s="321">
        <v>10</v>
      </c>
      <c r="H19" s="323">
        <v>10</v>
      </c>
      <c r="I19" s="439">
        <f t="shared" si="1"/>
        <v>4</v>
      </c>
      <c r="J19" s="322">
        <v>1</v>
      </c>
      <c r="K19" s="321">
        <v>1</v>
      </c>
      <c r="L19" s="321">
        <v>1</v>
      </c>
      <c r="M19" s="321">
        <v>0</v>
      </c>
      <c r="N19" s="321">
        <v>1</v>
      </c>
      <c r="O19" s="318">
        <v>1</v>
      </c>
      <c r="P19" s="318">
        <v>1</v>
      </c>
      <c r="Q19" s="324">
        <v>1</v>
      </c>
      <c r="R19" s="318">
        <v>0</v>
      </c>
      <c r="S19" s="319">
        <v>1</v>
      </c>
      <c r="T19" s="320">
        <v>5</v>
      </c>
      <c r="U19" s="318">
        <v>0</v>
      </c>
      <c r="V19" s="319">
        <v>10</v>
      </c>
    </row>
    <row r="20" spans="1:22">
      <c r="A20" s="714">
        <v>17</v>
      </c>
      <c r="B20" s="321" t="s">
        <v>200</v>
      </c>
      <c r="C20" s="321">
        <v>30</v>
      </c>
      <c r="D20" s="435">
        <f t="shared" si="0"/>
        <v>35</v>
      </c>
      <c r="E20" s="322">
        <v>5</v>
      </c>
      <c r="F20" s="321">
        <v>0</v>
      </c>
      <c r="G20" s="321">
        <v>15</v>
      </c>
      <c r="H20" s="323">
        <v>15</v>
      </c>
      <c r="I20" s="439">
        <f t="shared" si="1"/>
        <v>4</v>
      </c>
      <c r="J20" s="322">
        <v>1</v>
      </c>
      <c r="K20" s="321">
        <v>1</v>
      </c>
      <c r="L20" s="321">
        <v>1</v>
      </c>
      <c r="M20" s="321">
        <v>0</v>
      </c>
      <c r="N20" s="321">
        <v>1</v>
      </c>
      <c r="O20" s="318">
        <v>1</v>
      </c>
      <c r="P20" s="318">
        <v>1</v>
      </c>
      <c r="Q20" s="324">
        <v>1</v>
      </c>
      <c r="R20" s="318">
        <v>0</v>
      </c>
      <c r="S20" s="319">
        <v>1</v>
      </c>
      <c r="T20" s="320">
        <v>5</v>
      </c>
      <c r="U20" s="318">
        <v>0</v>
      </c>
      <c r="V20" s="319">
        <v>15</v>
      </c>
    </row>
    <row r="21" spans="1:22">
      <c r="A21" s="714">
        <v>18</v>
      </c>
      <c r="B21" s="321" t="s">
        <v>201</v>
      </c>
      <c r="C21" s="321">
        <v>30</v>
      </c>
      <c r="D21" s="435">
        <f t="shared" si="0"/>
        <v>40</v>
      </c>
      <c r="E21" s="322">
        <v>0</v>
      </c>
      <c r="F21" s="321">
        <v>0</v>
      </c>
      <c r="G21" s="321">
        <v>20</v>
      </c>
      <c r="H21" s="323">
        <v>20</v>
      </c>
      <c r="I21" s="439">
        <f t="shared" si="1"/>
        <v>5</v>
      </c>
      <c r="J21" s="322">
        <v>1</v>
      </c>
      <c r="K21" s="321">
        <v>1</v>
      </c>
      <c r="L21" s="321">
        <v>1</v>
      </c>
      <c r="M21" s="321">
        <v>1</v>
      </c>
      <c r="N21" s="321">
        <v>1</v>
      </c>
      <c r="O21" s="318">
        <v>1</v>
      </c>
      <c r="P21" s="318">
        <v>1</v>
      </c>
      <c r="Q21" s="324">
        <v>1</v>
      </c>
      <c r="R21" s="318">
        <v>1</v>
      </c>
      <c r="S21" s="319">
        <v>1</v>
      </c>
      <c r="T21" s="320">
        <v>0</v>
      </c>
      <c r="U21" s="318">
        <v>0</v>
      </c>
      <c r="V21" s="319">
        <v>20</v>
      </c>
    </row>
    <row r="22" spans="1:22">
      <c r="A22" s="714">
        <v>19</v>
      </c>
      <c r="B22" s="321" t="s">
        <v>202</v>
      </c>
      <c r="C22" s="321">
        <v>30</v>
      </c>
      <c r="D22" s="435">
        <f t="shared" si="0"/>
        <v>40</v>
      </c>
      <c r="E22" s="322">
        <v>0</v>
      </c>
      <c r="F22" s="321">
        <v>0</v>
      </c>
      <c r="G22" s="321">
        <v>20</v>
      </c>
      <c r="H22" s="323">
        <v>20</v>
      </c>
      <c r="I22" s="439">
        <f t="shared" si="1"/>
        <v>5</v>
      </c>
      <c r="J22" s="322">
        <v>1</v>
      </c>
      <c r="K22" s="321">
        <v>1</v>
      </c>
      <c r="L22" s="321">
        <v>1</v>
      </c>
      <c r="M22" s="321">
        <v>1</v>
      </c>
      <c r="N22" s="321">
        <v>1</v>
      </c>
      <c r="O22" s="318">
        <v>1</v>
      </c>
      <c r="P22" s="318">
        <v>1</v>
      </c>
      <c r="Q22" s="324">
        <v>1</v>
      </c>
      <c r="R22" s="318">
        <v>1</v>
      </c>
      <c r="S22" s="319">
        <v>1</v>
      </c>
      <c r="T22" s="320">
        <v>0</v>
      </c>
      <c r="U22" s="318">
        <v>0</v>
      </c>
      <c r="V22" s="319">
        <v>20</v>
      </c>
    </row>
    <row r="23" spans="1:22">
      <c r="A23" s="714">
        <v>20</v>
      </c>
      <c r="B23" s="321" t="s">
        <v>203</v>
      </c>
      <c r="C23" s="321">
        <v>30</v>
      </c>
      <c r="D23" s="435">
        <f t="shared" si="0"/>
        <v>40</v>
      </c>
      <c r="E23" s="322">
        <v>0</v>
      </c>
      <c r="F23" s="321">
        <v>0</v>
      </c>
      <c r="G23" s="321">
        <v>20</v>
      </c>
      <c r="H23" s="323">
        <v>20</v>
      </c>
      <c r="I23" s="439">
        <f t="shared" si="1"/>
        <v>5</v>
      </c>
      <c r="J23" s="322">
        <v>1</v>
      </c>
      <c r="K23" s="321">
        <v>1</v>
      </c>
      <c r="L23" s="321">
        <v>1</v>
      </c>
      <c r="M23" s="321">
        <v>1</v>
      </c>
      <c r="N23" s="321">
        <v>1</v>
      </c>
      <c r="O23" s="318">
        <v>1</v>
      </c>
      <c r="P23" s="318">
        <v>1</v>
      </c>
      <c r="Q23" s="324">
        <v>1</v>
      </c>
      <c r="R23" s="318">
        <v>1</v>
      </c>
      <c r="S23" s="319">
        <v>1</v>
      </c>
      <c r="T23" s="320">
        <v>0</v>
      </c>
      <c r="U23" s="318">
        <v>0</v>
      </c>
      <c r="V23" s="319">
        <v>20</v>
      </c>
    </row>
    <row r="24" spans="1:22">
      <c r="A24" s="714">
        <v>21</v>
      </c>
      <c r="B24" s="321" t="s">
        <v>204</v>
      </c>
      <c r="C24" s="321">
        <v>30</v>
      </c>
      <c r="D24" s="435">
        <f t="shared" si="0"/>
        <v>40</v>
      </c>
      <c r="E24" s="322">
        <v>0</v>
      </c>
      <c r="F24" s="321">
        <v>0</v>
      </c>
      <c r="G24" s="321">
        <v>20</v>
      </c>
      <c r="H24" s="323">
        <v>20</v>
      </c>
      <c r="I24" s="439">
        <f t="shared" si="1"/>
        <v>5</v>
      </c>
      <c r="J24" s="322">
        <v>1</v>
      </c>
      <c r="K24" s="321">
        <v>1</v>
      </c>
      <c r="L24" s="321">
        <v>1</v>
      </c>
      <c r="M24" s="321">
        <v>1</v>
      </c>
      <c r="N24" s="321">
        <v>1</v>
      </c>
      <c r="O24" s="318">
        <v>1</v>
      </c>
      <c r="P24" s="318">
        <v>1</v>
      </c>
      <c r="Q24" s="324">
        <v>1</v>
      </c>
      <c r="R24" s="318">
        <v>1</v>
      </c>
      <c r="S24" s="319">
        <v>1</v>
      </c>
      <c r="T24" s="320">
        <v>0</v>
      </c>
      <c r="U24" s="318">
        <v>0</v>
      </c>
      <c r="V24" s="319">
        <v>20</v>
      </c>
    </row>
    <row r="25" spans="1:22">
      <c r="A25" s="714">
        <v>22</v>
      </c>
      <c r="B25" s="321" t="s">
        <v>205</v>
      </c>
      <c r="C25" s="321">
        <v>25</v>
      </c>
      <c r="D25" s="435">
        <f t="shared" si="0"/>
        <v>40</v>
      </c>
      <c r="E25" s="322">
        <v>0</v>
      </c>
      <c r="F25" s="321">
        <v>0</v>
      </c>
      <c r="G25" s="321">
        <v>20</v>
      </c>
      <c r="H25" s="323">
        <v>20</v>
      </c>
      <c r="I25" s="439">
        <f t="shared" si="1"/>
        <v>5</v>
      </c>
      <c r="J25" s="322">
        <v>1</v>
      </c>
      <c r="K25" s="321">
        <v>1</v>
      </c>
      <c r="L25" s="321">
        <v>1</v>
      </c>
      <c r="M25" s="321">
        <v>1</v>
      </c>
      <c r="N25" s="321">
        <v>1</v>
      </c>
      <c r="O25" s="318">
        <v>1</v>
      </c>
      <c r="P25" s="318">
        <v>1</v>
      </c>
      <c r="Q25" s="324">
        <v>1</v>
      </c>
      <c r="R25" s="318">
        <v>1</v>
      </c>
      <c r="S25" s="319">
        <v>1</v>
      </c>
      <c r="T25" s="320">
        <v>0</v>
      </c>
      <c r="U25" s="318">
        <v>0</v>
      </c>
      <c r="V25" s="319">
        <v>20</v>
      </c>
    </row>
    <row r="26" spans="1:22">
      <c r="A26" s="714">
        <v>23</v>
      </c>
      <c r="B26" s="321" t="s">
        <v>206</v>
      </c>
      <c r="C26" s="321">
        <v>20</v>
      </c>
      <c r="D26" s="435">
        <f t="shared" si="0"/>
        <v>20</v>
      </c>
      <c r="E26" s="322">
        <v>0</v>
      </c>
      <c r="F26" s="321">
        <v>0</v>
      </c>
      <c r="G26" s="321">
        <v>10</v>
      </c>
      <c r="H26" s="323">
        <v>10</v>
      </c>
      <c r="I26" s="439">
        <f t="shared" si="1"/>
        <v>3</v>
      </c>
      <c r="J26" s="322">
        <v>1</v>
      </c>
      <c r="K26" s="321">
        <v>0</v>
      </c>
      <c r="L26" s="321">
        <v>1</v>
      </c>
      <c r="M26" s="321">
        <v>0</v>
      </c>
      <c r="N26" s="321">
        <v>1</v>
      </c>
      <c r="O26" s="318">
        <v>1</v>
      </c>
      <c r="P26" s="318">
        <v>0</v>
      </c>
      <c r="Q26" s="324">
        <v>1</v>
      </c>
      <c r="R26" s="318">
        <v>0</v>
      </c>
      <c r="S26" s="319">
        <v>1</v>
      </c>
      <c r="T26" s="320">
        <v>0</v>
      </c>
      <c r="U26" s="318">
        <v>0</v>
      </c>
      <c r="V26" s="319">
        <v>10</v>
      </c>
    </row>
    <row r="27" spans="1:22">
      <c r="A27" s="714">
        <v>24</v>
      </c>
      <c r="B27" s="321" t="s">
        <v>207</v>
      </c>
      <c r="C27" s="321">
        <v>20</v>
      </c>
      <c r="D27" s="435">
        <f t="shared" si="0"/>
        <v>25</v>
      </c>
      <c r="E27" s="322">
        <v>5</v>
      </c>
      <c r="F27" s="321">
        <v>0</v>
      </c>
      <c r="G27" s="321">
        <v>10</v>
      </c>
      <c r="H27" s="323">
        <v>10</v>
      </c>
      <c r="I27" s="439">
        <f t="shared" si="1"/>
        <v>3</v>
      </c>
      <c r="J27" s="322">
        <v>1</v>
      </c>
      <c r="K27" s="321">
        <v>0</v>
      </c>
      <c r="L27" s="321">
        <v>1</v>
      </c>
      <c r="M27" s="321">
        <v>0</v>
      </c>
      <c r="N27" s="321">
        <v>1</v>
      </c>
      <c r="O27" s="318">
        <v>1</v>
      </c>
      <c r="P27" s="318">
        <v>0</v>
      </c>
      <c r="Q27" s="324">
        <v>1</v>
      </c>
      <c r="R27" s="318">
        <v>0</v>
      </c>
      <c r="S27" s="319">
        <v>1</v>
      </c>
      <c r="T27" s="320">
        <v>5</v>
      </c>
      <c r="U27" s="318">
        <v>0</v>
      </c>
      <c r="V27" s="319">
        <v>10</v>
      </c>
    </row>
    <row r="28" spans="1:22">
      <c r="A28" s="714">
        <v>25</v>
      </c>
      <c r="B28" s="321" t="s">
        <v>208</v>
      </c>
      <c r="C28" s="321">
        <v>20</v>
      </c>
      <c r="D28" s="435">
        <f t="shared" si="0"/>
        <v>25</v>
      </c>
      <c r="E28" s="322">
        <v>5</v>
      </c>
      <c r="F28" s="321">
        <v>0</v>
      </c>
      <c r="G28" s="321">
        <v>10</v>
      </c>
      <c r="H28" s="323">
        <v>10</v>
      </c>
      <c r="I28" s="439">
        <f t="shared" si="1"/>
        <v>3</v>
      </c>
      <c r="J28" s="322">
        <v>1</v>
      </c>
      <c r="K28" s="321">
        <v>0</v>
      </c>
      <c r="L28" s="321">
        <v>1</v>
      </c>
      <c r="M28" s="321">
        <v>0</v>
      </c>
      <c r="N28" s="321">
        <v>1</v>
      </c>
      <c r="O28" s="318">
        <v>1</v>
      </c>
      <c r="P28" s="318">
        <v>0</v>
      </c>
      <c r="Q28" s="324">
        <v>1</v>
      </c>
      <c r="R28" s="318">
        <v>0</v>
      </c>
      <c r="S28" s="319">
        <v>1</v>
      </c>
      <c r="T28" s="320">
        <v>5</v>
      </c>
      <c r="U28" s="318">
        <v>0</v>
      </c>
      <c r="V28" s="319">
        <v>10</v>
      </c>
    </row>
    <row r="29" spans="1:22">
      <c r="A29" s="714">
        <v>26</v>
      </c>
      <c r="B29" s="321" t="s">
        <v>209</v>
      </c>
      <c r="C29" s="321">
        <v>20</v>
      </c>
      <c r="D29" s="435">
        <f t="shared" si="0"/>
        <v>25</v>
      </c>
      <c r="E29" s="322">
        <v>0</v>
      </c>
      <c r="F29" s="321">
        <v>0</v>
      </c>
      <c r="G29" s="321">
        <v>10</v>
      </c>
      <c r="H29" s="323">
        <v>15</v>
      </c>
      <c r="I29" s="439">
        <f t="shared" si="1"/>
        <v>3</v>
      </c>
      <c r="J29" s="322">
        <v>1</v>
      </c>
      <c r="K29" s="321">
        <v>0</v>
      </c>
      <c r="L29" s="321">
        <v>1</v>
      </c>
      <c r="M29" s="321">
        <v>0</v>
      </c>
      <c r="N29" s="321">
        <v>1</v>
      </c>
      <c r="O29" s="318">
        <v>1</v>
      </c>
      <c r="P29" s="318">
        <v>0</v>
      </c>
      <c r="Q29" s="324">
        <v>1</v>
      </c>
      <c r="R29" s="318">
        <v>0</v>
      </c>
      <c r="S29" s="319">
        <v>1</v>
      </c>
      <c r="T29" s="320">
        <v>0</v>
      </c>
      <c r="U29" s="318">
        <v>0</v>
      </c>
      <c r="V29" s="319">
        <v>10</v>
      </c>
    </row>
    <row r="30" spans="1:22">
      <c r="A30" s="714">
        <v>27</v>
      </c>
      <c r="B30" s="321" t="s">
        <v>210</v>
      </c>
      <c r="C30" s="321">
        <v>40</v>
      </c>
      <c r="D30" s="435">
        <f t="shared" si="0"/>
        <v>60</v>
      </c>
      <c r="E30" s="322">
        <v>10</v>
      </c>
      <c r="F30" s="321">
        <v>10</v>
      </c>
      <c r="G30" s="321">
        <v>20</v>
      </c>
      <c r="H30" s="323">
        <v>20</v>
      </c>
      <c r="I30" s="439">
        <f t="shared" si="1"/>
        <v>5</v>
      </c>
      <c r="J30" s="322">
        <v>1</v>
      </c>
      <c r="K30" s="321">
        <v>1</v>
      </c>
      <c r="L30" s="321">
        <v>1</v>
      </c>
      <c r="M30" s="321">
        <v>1</v>
      </c>
      <c r="N30" s="321">
        <v>1</v>
      </c>
      <c r="O30" s="318">
        <v>1</v>
      </c>
      <c r="P30" s="318">
        <v>1</v>
      </c>
      <c r="Q30" s="324">
        <v>1</v>
      </c>
      <c r="R30" s="318">
        <v>1</v>
      </c>
      <c r="S30" s="319">
        <v>1</v>
      </c>
      <c r="T30" s="320">
        <v>10</v>
      </c>
      <c r="U30" s="318">
        <v>10</v>
      </c>
      <c r="V30" s="319">
        <v>20</v>
      </c>
    </row>
    <row r="31" spans="1:22">
      <c r="A31" s="714">
        <v>28</v>
      </c>
      <c r="B31" s="321" t="s">
        <v>211</v>
      </c>
      <c r="C31" s="321">
        <v>40</v>
      </c>
      <c r="D31" s="435">
        <f t="shared" si="0"/>
        <v>60</v>
      </c>
      <c r="E31" s="322">
        <v>10</v>
      </c>
      <c r="F31" s="321">
        <v>10</v>
      </c>
      <c r="G31" s="321">
        <v>20</v>
      </c>
      <c r="H31" s="323">
        <v>20</v>
      </c>
      <c r="I31" s="439">
        <f t="shared" si="1"/>
        <v>5</v>
      </c>
      <c r="J31" s="322">
        <v>1</v>
      </c>
      <c r="K31" s="321">
        <v>1</v>
      </c>
      <c r="L31" s="321">
        <v>1</v>
      </c>
      <c r="M31" s="321">
        <v>1</v>
      </c>
      <c r="N31" s="321">
        <v>1</v>
      </c>
      <c r="O31" s="318">
        <v>1</v>
      </c>
      <c r="P31" s="318">
        <v>1</v>
      </c>
      <c r="Q31" s="324">
        <v>1</v>
      </c>
      <c r="R31" s="318">
        <v>1</v>
      </c>
      <c r="S31" s="319">
        <v>1</v>
      </c>
      <c r="T31" s="320">
        <v>10</v>
      </c>
      <c r="U31" s="318">
        <v>10</v>
      </c>
      <c r="V31" s="319">
        <v>20</v>
      </c>
    </row>
    <row r="32" spans="1:22">
      <c r="A32" s="714">
        <v>29</v>
      </c>
      <c r="B32" s="321" t="s">
        <v>212</v>
      </c>
      <c r="C32" s="321">
        <v>20</v>
      </c>
      <c r="D32" s="435">
        <f t="shared" si="0"/>
        <v>20</v>
      </c>
      <c r="E32" s="322">
        <v>5</v>
      </c>
      <c r="F32" s="321">
        <v>5</v>
      </c>
      <c r="G32" s="321">
        <v>5</v>
      </c>
      <c r="H32" s="323">
        <v>5</v>
      </c>
      <c r="I32" s="439">
        <f t="shared" si="1"/>
        <v>3</v>
      </c>
      <c r="J32" s="322">
        <v>1</v>
      </c>
      <c r="K32" s="321">
        <v>0</v>
      </c>
      <c r="L32" s="321">
        <v>1</v>
      </c>
      <c r="M32" s="321">
        <v>0</v>
      </c>
      <c r="N32" s="321">
        <v>1</v>
      </c>
      <c r="O32" s="318">
        <v>1</v>
      </c>
      <c r="P32" s="318">
        <v>0</v>
      </c>
      <c r="Q32" s="324">
        <v>1</v>
      </c>
      <c r="R32" s="318">
        <v>0</v>
      </c>
      <c r="S32" s="319">
        <v>1</v>
      </c>
      <c r="T32" s="320">
        <v>5</v>
      </c>
      <c r="U32" s="318">
        <v>5</v>
      </c>
      <c r="V32" s="319">
        <v>5</v>
      </c>
    </row>
    <row r="33" spans="1:22">
      <c r="A33" s="714">
        <v>30</v>
      </c>
      <c r="B33" s="321" t="s">
        <v>213</v>
      </c>
      <c r="C33" s="321">
        <v>20</v>
      </c>
      <c r="D33" s="435">
        <f t="shared" si="0"/>
        <v>20</v>
      </c>
      <c r="E33" s="322">
        <v>5</v>
      </c>
      <c r="F33" s="321">
        <v>5</v>
      </c>
      <c r="G33" s="321">
        <v>5</v>
      </c>
      <c r="H33" s="323">
        <v>5</v>
      </c>
      <c r="I33" s="439">
        <f>J33+K33+L33+M33+N33</f>
        <v>5</v>
      </c>
      <c r="J33" s="322">
        <v>1</v>
      </c>
      <c r="K33" s="321">
        <v>1</v>
      </c>
      <c r="L33" s="321">
        <v>1</v>
      </c>
      <c r="M33" s="321">
        <v>1</v>
      </c>
      <c r="N33" s="321">
        <v>1</v>
      </c>
      <c r="O33" s="318">
        <v>1</v>
      </c>
      <c r="P33" s="318">
        <v>1</v>
      </c>
      <c r="Q33" s="324">
        <v>1</v>
      </c>
      <c r="R33" s="318">
        <v>1</v>
      </c>
      <c r="S33" s="319">
        <v>1</v>
      </c>
      <c r="T33" s="320">
        <v>5</v>
      </c>
      <c r="U33" s="318">
        <v>5</v>
      </c>
      <c r="V33" s="319">
        <v>5</v>
      </c>
    </row>
    <row r="34" spans="1:22">
      <c r="A34" s="714">
        <v>31</v>
      </c>
      <c r="B34" s="321" t="s">
        <v>214</v>
      </c>
      <c r="C34" s="321">
        <v>30</v>
      </c>
      <c r="D34" s="435">
        <f t="shared" si="0"/>
        <v>30</v>
      </c>
      <c r="E34" s="322">
        <v>5</v>
      </c>
      <c r="F34" s="321">
        <v>5</v>
      </c>
      <c r="G34" s="321">
        <v>10</v>
      </c>
      <c r="H34" s="323">
        <v>10</v>
      </c>
      <c r="I34" s="439">
        <f t="shared" si="1"/>
        <v>3</v>
      </c>
      <c r="J34" s="322">
        <v>1</v>
      </c>
      <c r="K34" s="321">
        <v>0</v>
      </c>
      <c r="L34" s="321">
        <v>1</v>
      </c>
      <c r="M34" s="321">
        <v>0</v>
      </c>
      <c r="N34" s="321">
        <v>1</v>
      </c>
      <c r="O34" s="318">
        <v>1</v>
      </c>
      <c r="P34" s="318">
        <v>0</v>
      </c>
      <c r="Q34" s="324">
        <v>1</v>
      </c>
      <c r="R34" s="318">
        <v>0</v>
      </c>
      <c r="S34" s="319">
        <v>1</v>
      </c>
      <c r="T34" s="320">
        <v>5</v>
      </c>
      <c r="U34" s="318">
        <v>5</v>
      </c>
      <c r="V34" s="319">
        <v>10</v>
      </c>
    </row>
    <row r="35" spans="1:22">
      <c r="A35" s="714">
        <v>32</v>
      </c>
      <c r="B35" s="321" t="s">
        <v>215</v>
      </c>
      <c r="C35" s="321">
        <v>20</v>
      </c>
      <c r="D35" s="435">
        <f t="shared" si="0"/>
        <v>20</v>
      </c>
      <c r="E35" s="322">
        <v>0</v>
      </c>
      <c r="F35" s="321">
        <v>0</v>
      </c>
      <c r="G35" s="321">
        <v>10</v>
      </c>
      <c r="H35" s="323">
        <v>10</v>
      </c>
      <c r="I35" s="439">
        <f t="shared" si="1"/>
        <v>3</v>
      </c>
      <c r="J35" s="322">
        <v>1</v>
      </c>
      <c r="K35" s="321">
        <v>0</v>
      </c>
      <c r="L35" s="321">
        <v>1</v>
      </c>
      <c r="M35" s="321">
        <v>0</v>
      </c>
      <c r="N35" s="321">
        <v>1</v>
      </c>
      <c r="O35" s="318">
        <v>1</v>
      </c>
      <c r="P35" s="318">
        <v>0</v>
      </c>
      <c r="Q35" s="324">
        <v>1</v>
      </c>
      <c r="R35" s="318">
        <v>0</v>
      </c>
      <c r="S35" s="319">
        <v>1</v>
      </c>
      <c r="T35" s="320">
        <v>0</v>
      </c>
      <c r="U35" s="318">
        <v>0</v>
      </c>
      <c r="V35" s="319">
        <v>10</v>
      </c>
    </row>
    <row r="36" spans="1:22">
      <c r="A36" s="714">
        <v>33</v>
      </c>
      <c r="B36" s="321" t="s">
        <v>216</v>
      </c>
      <c r="C36" s="321">
        <v>20</v>
      </c>
      <c r="D36" s="435">
        <f t="shared" si="0"/>
        <v>20</v>
      </c>
      <c r="E36" s="322">
        <v>5</v>
      </c>
      <c r="F36" s="321">
        <v>5</v>
      </c>
      <c r="G36" s="321">
        <v>0</v>
      </c>
      <c r="H36" s="323">
        <v>10</v>
      </c>
      <c r="I36" s="439">
        <f t="shared" si="1"/>
        <v>3</v>
      </c>
      <c r="J36" s="322">
        <v>1</v>
      </c>
      <c r="K36" s="321">
        <v>0</v>
      </c>
      <c r="L36" s="321">
        <v>1</v>
      </c>
      <c r="M36" s="321">
        <v>0</v>
      </c>
      <c r="N36" s="321">
        <v>1</v>
      </c>
      <c r="O36" s="318">
        <v>1</v>
      </c>
      <c r="P36" s="318">
        <v>0</v>
      </c>
      <c r="Q36" s="324">
        <v>1</v>
      </c>
      <c r="R36" s="318">
        <v>0</v>
      </c>
      <c r="S36" s="319">
        <v>1</v>
      </c>
      <c r="T36" s="320">
        <v>5</v>
      </c>
      <c r="U36" s="318">
        <v>5</v>
      </c>
      <c r="V36" s="319">
        <v>0</v>
      </c>
    </row>
    <row r="37" spans="1:22">
      <c r="A37" s="714">
        <v>34</v>
      </c>
      <c r="B37" s="321" t="s">
        <v>217</v>
      </c>
      <c r="C37" s="321">
        <v>20</v>
      </c>
      <c r="D37" s="435">
        <f t="shared" si="0"/>
        <v>20</v>
      </c>
      <c r="E37" s="322">
        <v>0</v>
      </c>
      <c r="F37" s="321">
        <v>0</v>
      </c>
      <c r="G37" s="321">
        <v>10</v>
      </c>
      <c r="H37" s="323">
        <v>10</v>
      </c>
      <c r="I37" s="439">
        <f t="shared" si="1"/>
        <v>3</v>
      </c>
      <c r="J37" s="322">
        <v>1</v>
      </c>
      <c r="K37" s="321">
        <v>0</v>
      </c>
      <c r="L37" s="321">
        <v>1</v>
      </c>
      <c r="M37" s="321">
        <v>0</v>
      </c>
      <c r="N37" s="321">
        <v>1</v>
      </c>
      <c r="O37" s="318">
        <v>1</v>
      </c>
      <c r="P37" s="318">
        <v>0</v>
      </c>
      <c r="Q37" s="324">
        <v>1</v>
      </c>
      <c r="R37" s="318">
        <v>0</v>
      </c>
      <c r="S37" s="319">
        <v>1</v>
      </c>
      <c r="T37" s="320">
        <v>0</v>
      </c>
      <c r="U37" s="318">
        <v>0</v>
      </c>
      <c r="V37" s="319">
        <v>10</v>
      </c>
    </row>
    <row r="38" spans="1:22">
      <c r="A38" s="714">
        <v>35</v>
      </c>
      <c r="B38" s="321" t="s">
        <v>218</v>
      </c>
      <c r="C38" s="321">
        <v>30</v>
      </c>
      <c r="D38" s="435">
        <f t="shared" si="0"/>
        <v>30</v>
      </c>
      <c r="E38" s="322">
        <v>0</v>
      </c>
      <c r="F38" s="321">
        <v>0</v>
      </c>
      <c r="G38" s="321">
        <v>20</v>
      </c>
      <c r="H38" s="323">
        <v>10</v>
      </c>
      <c r="I38" s="439">
        <f t="shared" si="1"/>
        <v>3</v>
      </c>
      <c r="J38" s="322">
        <v>1</v>
      </c>
      <c r="K38" s="321">
        <v>0</v>
      </c>
      <c r="L38" s="321">
        <v>1</v>
      </c>
      <c r="M38" s="321">
        <v>0</v>
      </c>
      <c r="N38" s="321">
        <v>1</v>
      </c>
      <c r="O38" s="318">
        <v>1</v>
      </c>
      <c r="P38" s="318">
        <v>0</v>
      </c>
      <c r="Q38" s="324">
        <v>1</v>
      </c>
      <c r="R38" s="318">
        <v>0</v>
      </c>
      <c r="S38" s="319">
        <v>1</v>
      </c>
      <c r="T38" s="320">
        <v>0</v>
      </c>
      <c r="U38" s="318">
        <v>0</v>
      </c>
      <c r="V38" s="319">
        <v>20</v>
      </c>
    </row>
    <row r="39" spans="1:22">
      <c r="A39" s="714">
        <v>36</v>
      </c>
      <c r="B39" s="321" t="s">
        <v>219</v>
      </c>
      <c r="C39" s="321">
        <v>20</v>
      </c>
      <c r="D39" s="435">
        <f t="shared" si="0"/>
        <v>25</v>
      </c>
      <c r="E39" s="322">
        <v>0</v>
      </c>
      <c r="F39" s="321">
        <v>0</v>
      </c>
      <c r="G39" s="321">
        <v>20</v>
      </c>
      <c r="H39" s="323">
        <v>5</v>
      </c>
      <c r="I39" s="439">
        <f t="shared" si="1"/>
        <v>3</v>
      </c>
      <c r="J39" s="322">
        <v>1</v>
      </c>
      <c r="K39" s="321">
        <v>0</v>
      </c>
      <c r="L39" s="321">
        <v>1</v>
      </c>
      <c r="M39" s="321">
        <v>0</v>
      </c>
      <c r="N39" s="321">
        <v>1</v>
      </c>
      <c r="O39" s="318">
        <v>1</v>
      </c>
      <c r="P39" s="318">
        <v>0</v>
      </c>
      <c r="Q39" s="324">
        <v>1</v>
      </c>
      <c r="R39" s="318">
        <v>0</v>
      </c>
      <c r="S39" s="319">
        <v>1</v>
      </c>
      <c r="T39" s="320">
        <v>0</v>
      </c>
      <c r="U39" s="318">
        <v>0</v>
      </c>
      <c r="V39" s="319">
        <v>20</v>
      </c>
    </row>
    <row r="40" spans="1:22">
      <c r="A40" s="714">
        <v>37</v>
      </c>
      <c r="B40" s="321" t="s">
        <v>220</v>
      </c>
      <c r="C40" s="321">
        <v>30</v>
      </c>
      <c r="D40" s="435">
        <f t="shared" si="0"/>
        <v>35</v>
      </c>
      <c r="E40" s="322">
        <v>5</v>
      </c>
      <c r="F40" s="321">
        <v>0</v>
      </c>
      <c r="G40" s="321">
        <v>20</v>
      </c>
      <c r="H40" s="323">
        <v>10</v>
      </c>
      <c r="I40" s="439">
        <f t="shared" si="1"/>
        <v>3</v>
      </c>
      <c r="J40" s="322">
        <v>1</v>
      </c>
      <c r="K40" s="321">
        <v>0</v>
      </c>
      <c r="L40" s="321">
        <v>1</v>
      </c>
      <c r="M40" s="321">
        <v>0</v>
      </c>
      <c r="N40" s="321">
        <v>1</v>
      </c>
      <c r="O40" s="318">
        <v>1</v>
      </c>
      <c r="P40" s="318">
        <v>0</v>
      </c>
      <c r="Q40" s="324">
        <v>1</v>
      </c>
      <c r="R40" s="318">
        <v>0</v>
      </c>
      <c r="S40" s="319">
        <v>1</v>
      </c>
      <c r="T40" s="320">
        <v>5</v>
      </c>
      <c r="U40" s="318">
        <v>0</v>
      </c>
      <c r="V40" s="319">
        <v>20</v>
      </c>
    </row>
    <row r="41" spans="1:22">
      <c r="A41" s="714">
        <v>38</v>
      </c>
      <c r="B41" s="321" t="s">
        <v>221</v>
      </c>
      <c r="C41" s="321">
        <v>20</v>
      </c>
      <c r="D41" s="435">
        <f t="shared" si="0"/>
        <v>20</v>
      </c>
      <c r="E41" s="322">
        <v>0</v>
      </c>
      <c r="F41" s="321">
        <v>0</v>
      </c>
      <c r="G41" s="321">
        <v>15</v>
      </c>
      <c r="H41" s="323">
        <v>5</v>
      </c>
      <c r="I41" s="439">
        <f t="shared" si="1"/>
        <v>3</v>
      </c>
      <c r="J41" s="322">
        <v>1</v>
      </c>
      <c r="K41" s="321">
        <v>0</v>
      </c>
      <c r="L41" s="321">
        <v>1</v>
      </c>
      <c r="M41" s="321">
        <v>0</v>
      </c>
      <c r="N41" s="321">
        <v>1</v>
      </c>
      <c r="O41" s="318">
        <v>1</v>
      </c>
      <c r="P41" s="318">
        <v>0</v>
      </c>
      <c r="Q41" s="324">
        <v>1</v>
      </c>
      <c r="R41" s="318">
        <v>0</v>
      </c>
      <c r="S41" s="319">
        <v>1</v>
      </c>
      <c r="T41" s="320">
        <v>0</v>
      </c>
      <c r="U41" s="318">
        <v>0</v>
      </c>
      <c r="V41" s="319">
        <v>15</v>
      </c>
    </row>
    <row r="42" spans="1:22">
      <c r="A42" s="714">
        <v>39</v>
      </c>
      <c r="B42" s="321" t="s">
        <v>222</v>
      </c>
      <c r="C42" s="321">
        <v>20</v>
      </c>
      <c r="D42" s="435">
        <f t="shared" si="0"/>
        <v>25</v>
      </c>
      <c r="E42" s="322">
        <v>0</v>
      </c>
      <c r="F42" s="321">
        <v>0</v>
      </c>
      <c r="G42" s="321">
        <v>15</v>
      </c>
      <c r="H42" s="323">
        <v>10</v>
      </c>
      <c r="I42" s="439">
        <f t="shared" si="1"/>
        <v>3</v>
      </c>
      <c r="J42" s="322">
        <v>1</v>
      </c>
      <c r="K42" s="321">
        <v>0</v>
      </c>
      <c r="L42" s="321">
        <v>1</v>
      </c>
      <c r="M42" s="321">
        <v>0</v>
      </c>
      <c r="N42" s="321">
        <v>1</v>
      </c>
      <c r="O42" s="318">
        <v>1</v>
      </c>
      <c r="P42" s="318">
        <v>0</v>
      </c>
      <c r="Q42" s="324">
        <v>1</v>
      </c>
      <c r="R42" s="318">
        <v>0</v>
      </c>
      <c r="S42" s="319">
        <v>1</v>
      </c>
      <c r="T42" s="320">
        <v>0</v>
      </c>
      <c r="U42" s="318">
        <v>0</v>
      </c>
      <c r="V42" s="319">
        <v>15</v>
      </c>
    </row>
    <row r="43" spans="1:22">
      <c r="A43" s="714">
        <v>40</v>
      </c>
      <c r="B43" s="321" t="s">
        <v>223</v>
      </c>
      <c r="C43" s="321">
        <v>25</v>
      </c>
      <c r="D43" s="435">
        <f t="shared" si="0"/>
        <v>40</v>
      </c>
      <c r="E43" s="322">
        <v>5</v>
      </c>
      <c r="F43" s="321">
        <v>5</v>
      </c>
      <c r="G43" s="321">
        <v>10</v>
      </c>
      <c r="H43" s="323">
        <v>20</v>
      </c>
      <c r="I43" s="439">
        <f t="shared" si="1"/>
        <v>3</v>
      </c>
      <c r="J43" s="322">
        <v>1</v>
      </c>
      <c r="K43" s="321">
        <v>0</v>
      </c>
      <c r="L43" s="321">
        <v>1</v>
      </c>
      <c r="M43" s="321">
        <v>0</v>
      </c>
      <c r="N43" s="321">
        <v>1</v>
      </c>
      <c r="O43" s="318">
        <v>1</v>
      </c>
      <c r="P43" s="318">
        <v>0</v>
      </c>
      <c r="Q43" s="324">
        <v>1</v>
      </c>
      <c r="R43" s="318">
        <v>0</v>
      </c>
      <c r="S43" s="319">
        <v>1</v>
      </c>
      <c r="T43" s="320">
        <v>5</v>
      </c>
      <c r="U43" s="318">
        <v>5</v>
      </c>
      <c r="V43" s="319">
        <v>10</v>
      </c>
    </row>
    <row r="44" spans="1:22">
      <c r="A44" s="714">
        <v>41</v>
      </c>
      <c r="B44" s="321" t="s">
        <v>224</v>
      </c>
      <c r="C44" s="321">
        <v>30</v>
      </c>
      <c r="D44" s="435">
        <f t="shared" si="0"/>
        <v>50</v>
      </c>
      <c r="E44" s="322">
        <v>5</v>
      </c>
      <c r="F44" s="321">
        <v>5</v>
      </c>
      <c r="G44" s="321">
        <v>20</v>
      </c>
      <c r="H44" s="323">
        <v>20</v>
      </c>
      <c r="I44" s="439">
        <f t="shared" si="1"/>
        <v>5</v>
      </c>
      <c r="J44" s="322">
        <v>1</v>
      </c>
      <c r="K44" s="321">
        <v>1</v>
      </c>
      <c r="L44" s="321">
        <v>1</v>
      </c>
      <c r="M44" s="321">
        <v>1</v>
      </c>
      <c r="N44" s="321">
        <v>1</v>
      </c>
      <c r="O44" s="318">
        <v>1</v>
      </c>
      <c r="P44" s="318">
        <v>1</v>
      </c>
      <c r="Q44" s="324">
        <v>1</v>
      </c>
      <c r="R44" s="318">
        <v>1</v>
      </c>
      <c r="S44" s="319">
        <v>1</v>
      </c>
      <c r="T44" s="320">
        <v>5</v>
      </c>
      <c r="U44" s="318">
        <v>5</v>
      </c>
      <c r="V44" s="319">
        <v>20</v>
      </c>
    </row>
    <row r="45" spans="1:22">
      <c r="A45" s="714">
        <v>42</v>
      </c>
      <c r="B45" s="321" t="s">
        <v>225</v>
      </c>
      <c r="C45" s="321">
        <v>20</v>
      </c>
      <c r="D45" s="435">
        <f t="shared" si="0"/>
        <v>40</v>
      </c>
      <c r="E45" s="322">
        <v>5</v>
      </c>
      <c r="F45" s="321">
        <v>5</v>
      </c>
      <c r="G45" s="321">
        <v>10</v>
      </c>
      <c r="H45" s="323">
        <v>20</v>
      </c>
      <c r="I45" s="439">
        <f t="shared" si="1"/>
        <v>3</v>
      </c>
      <c r="J45" s="322">
        <v>1</v>
      </c>
      <c r="K45" s="321">
        <v>0</v>
      </c>
      <c r="L45" s="321">
        <v>1</v>
      </c>
      <c r="M45" s="321">
        <v>0</v>
      </c>
      <c r="N45" s="321">
        <v>1</v>
      </c>
      <c r="O45" s="318">
        <v>1</v>
      </c>
      <c r="P45" s="318">
        <v>0</v>
      </c>
      <c r="Q45" s="324">
        <v>1</v>
      </c>
      <c r="R45" s="318">
        <v>0</v>
      </c>
      <c r="S45" s="319">
        <v>1</v>
      </c>
      <c r="T45" s="320">
        <v>5</v>
      </c>
      <c r="U45" s="318">
        <v>5</v>
      </c>
      <c r="V45" s="319">
        <v>10</v>
      </c>
    </row>
    <row r="46" spans="1:22">
      <c r="A46" s="714">
        <v>43</v>
      </c>
      <c r="B46" s="321" t="s">
        <v>226</v>
      </c>
      <c r="C46" s="321">
        <v>30</v>
      </c>
      <c r="D46" s="435">
        <f t="shared" si="0"/>
        <v>40</v>
      </c>
      <c r="E46" s="322">
        <v>5</v>
      </c>
      <c r="F46" s="321">
        <v>5</v>
      </c>
      <c r="G46" s="321">
        <v>10</v>
      </c>
      <c r="H46" s="323">
        <v>20</v>
      </c>
      <c r="I46" s="439">
        <f t="shared" si="1"/>
        <v>5</v>
      </c>
      <c r="J46" s="322">
        <v>1</v>
      </c>
      <c r="K46" s="321">
        <v>1</v>
      </c>
      <c r="L46" s="321">
        <v>1</v>
      </c>
      <c r="M46" s="321">
        <v>1</v>
      </c>
      <c r="N46" s="321">
        <v>1</v>
      </c>
      <c r="O46" s="318">
        <v>1</v>
      </c>
      <c r="P46" s="318">
        <v>1</v>
      </c>
      <c r="Q46" s="324">
        <v>1</v>
      </c>
      <c r="R46" s="318">
        <v>1</v>
      </c>
      <c r="S46" s="319">
        <v>1</v>
      </c>
      <c r="T46" s="320">
        <v>5</v>
      </c>
      <c r="U46" s="318">
        <v>5</v>
      </c>
      <c r="V46" s="319">
        <v>10</v>
      </c>
    </row>
    <row r="47" spans="1:22">
      <c r="A47" s="714">
        <v>44</v>
      </c>
      <c r="B47" s="321" t="s">
        <v>227</v>
      </c>
      <c r="C47" s="321">
        <v>25</v>
      </c>
      <c r="D47" s="435">
        <f t="shared" si="0"/>
        <v>35</v>
      </c>
      <c r="E47" s="322">
        <v>10</v>
      </c>
      <c r="F47" s="321">
        <v>5</v>
      </c>
      <c r="G47" s="321">
        <v>10</v>
      </c>
      <c r="H47" s="323">
        <v>10</v>
      </c>
      <c r="I47" s="439">
        <f t="shared" si="1"/>
        <v>4</v>
      </c>
      <c r="J47" s="322">
        <v>1</v>
      </c>
      <c r="K47" s="321">
        <v>0</v>
      </c>
      <c r="L47" s="321">
        <v>1</v>
      </c>
      <c r="M47" s="321">
        <v>1</v>
      </c>
      <c r="N47" s="321">
        <v>1</v>
      </c>
      <c r="O47" s="318">
        <v>1</v>
      </c>
      <c r="P47" s="318">
        <v>0</v>
      </c>
      <c r="Q47" s="324">
        <v>1</v>
      </c>
      <c r="R47" s="318">
        <v>1</v>
      </c>
      <c r="S47" s="319">
        <v>1</v>
      </c>
      <c r="T47" s="320">
        <v>10</v>
      </c>
      <c r="U47" s="318">
        <v>5</v>
      </c>
      <c r="V47" s="319">
        <v>10</v>
      </c>
    </row>
    <row r="48" spans="1:22">
      <c r="A48" s="714">
        <v>45</v>
      </c>
      <c r="B48" s="321" t="s">
        <v>187</v>
      </c>
      <c r="C48" s="321">
        <v>30</v>
      </c>
      <c r="D48" s="435">
        <f t="shared" si="0"/>
        <v>40</v>
      </c>
      <c r="E48" s="322">
        <v>5</v>
      </c>
      <c r="F48" s="321">
        <v>5</v>
      </c>
      <c r="G48" s="321">
        <v>10</v>
      </c>
      <c r="H48" s="323">
        <v>20</v>
      </c>
      <c r="I48" s="439">
        <f t="shared" si="1"/>
        <v>5</v>
      </c>
      <c r="J48" s="322">
        <v>1</v>
      </c>
      <c r="K48" s="321">
        <v>1</v>
      </c>
      <c r="L48" s="321">
        <v>1</v>
      </c>
      <c r="M48" s="321">
        <v>1</v>
      </c>
      <c r="N48" s="321">
        <v>1</v>
      </c>
      <c r="O48" s="318">
        <v>1</v>
      </c>
      <c r="P48" s="318">
        <v>1</v>
      </c>
      <c r="Q48" s="324">
        <v>1</v>
      </c>
      <c r="R48" s="318">
        <v>1</v>
      </c>
      <c r="S48" s="319">
        <v>1</v>
      </c>
      <c r="T48" s="320">
        <v>5</v>
      </c>
      <c r="U48" s="318">
        <v>5</v>
      </c>
      <c r="V48" s="319">
        <v>10</v>
      </c>
    </row>
    <row r="49" spans="1:22">
      <c r="A49" s="714">
        <v>46</v>
      </c>
      <c r="B49" s="321" t="s">
        <v>228</v>
      </c>
      <c r="C49" s="321">
        <v>30</v>
      </c>
      <c r="D49" s="435">
        <f t="shared" si="0"/>
        <v>40</v>
      </c>
      <c r="E49" s="322">
        <v>5</v>
      </c>
      <c r="F49" s="321">
        <v>5</v>
      </c>
      <c r="G49" s="321">
        <v>10</v>
      </c>
      <c r="H49" s="323">
        <v>20</v>
      </c>
      <c r="I49" s="439">
        <f t="shared" si="1"/>
        <v>3</v>
      </c>
      <c r="J49" s="322">
        <v>1</v>
      </c>
      <c r="K49" s="321">
        <v>0</v>
      </c>
      <c r="L49" s="321">
        <v>1</v>
      </c>
      <c r="M49" s="321">
        <v>0</v>
      </c>
      <c r="N49" s="321">
        <v>1</v>
      </c>
      <c r="O49" s="318">
        <v>1</v>
      </c>
      <c r="P49" s="318">
        <v>0</v>
      </c>
      <c r="Q49" s="324">
        <v>1</v>
      </c>
      <c r="R49" s="318">
        <v>0</v>
      </c>
      <c r="S49" s="319">
        <v>1</v>
      </c>
      <c r="T49" s="320">
        <v>5</v>
      </c>
      <c r="U49" s="318">
        <v>5</v>
      </c>
      <c r="V49" s="319">
        <v>10</v>
      </c>
    </row>
    <row r="50" spans="1:22">
      <c r="A50" s="714">
        <v>47</v>
      </c>
      <c r="B50" s="321" t="s">
        <v>185</v>
      </c>
      <c r="C50" s="321">
        <v>40</v>
      </c>
      <c r="D50" s="435">
        <f t="shared" si="0"/>
        <v>50</v>
      </c>
      <c r="E50" s="322">
        <v>5</v>
      </c>
      <c r="F50" s="321">
        <v>5</v>
      </c>
      <c r="G50" s="321">
        <v>20</v>
      </c>
      <c r="H50" s="323">
        <v>20</v>
      </c>
      <c r="I50" s="439">
        <f t="shared" si="1"/>
        <v>5</v>
      </c>
      <c r="J50" s="322">
        <v>1</v>
      </c>
      <c r="K50" s="321">
        <v>1</v>
      </c>
      <c r="L50" s="321">
        <v>1</v>
      </c>
      <c r="M50" s="321">
        <v>1</v>
      </c>
      <c r="N50" s="321">
        <v>1</v>
      </c>
      <c r="O50" s="318">
        <v>1</v>
      </c>
      <c r="P50" s="318">
        <v>1</v>
      </c>
      <c r="Q50" s="324">
        <v>1</v>
      </c>
      <c r="R50" s="318">
        <v>1</v>
      </c>
      <c r="S50" s="319">
        <v>1</v>
      </c>
      <c r="T50" s="320">
        <v>5</v>
      </c>
      <c r="U50" s="318">
        <v>5</v>
      </c>
      <c r="V50" s="319">
        <v>20</v>
      </c>
    </row>
    <row r="51" spans="1:22">
      <c r="A51" s="714">
        <v>48</v>
      </c>
      <c r="B51" s="321" t="s">
        <v>229</v>
      </c>
      <c r="C51" s="321">
        <v>30</v>
      </c>
      <c r="D51" s="435">
        <f t="shared" si="0"/>
        <v>40</v>
      </c>
      <c r="E51" s="322">
        <v>0</v>
      </c>
      <c r="F51" s="321">
        <v>0</v>
      </c>
      <c r="G51" s="321">
        <v>20</v>
      </c>
      <c r="H51" s="323">
        <v>20</v>
      </c>
      <c r="I51" s="439">
        <f t="shared" si="1"/>
        <v>3</v>
      </c>
      <c r="J51" s="322">
        <v>1</v>
      </c>
      <c r="K51" s="321">
        <v>0</v>
      </c>
      <c r="L51" s="321">
        <v>1</v>
      </c>
      <c r="M51" s="321">
        <v>0</v>
      </c>
      <c r="N51" s="321">
        <v>1</v>
      </c>
      <c r="O51" s="318">
        <v>1</v>
      </c>
      <c r="P51" s="318">
        <v>0</v>
      </c>
      <c r="Q51" s="324">
        <v>1</v>
      </c>
      <c r="R51" s="318">
        <v>0</v>
      </c>
      <c r="S51" s="319">
        <v>1</v>
      </c>
      <c r="T51" s="320">
        <v>0</v>
      </c>
      <c r="U51" s="318">
        <v>0</v>
      </c>
      <c r="V51" s="319">
        <v>20</v>
      </c>
    </row>
    <row r="52" spans="1:22">
      <c r="A52" s="714">
        <v>49</v>
      </c>
      <c r="B52" s="321" t="s">
        <v>230</v>
      </c>
      <c r="C52" s="321">
        <v>40</v>
      </c>
      <c r="D52" s="435">
        <f t="shared" si="0"/>
        <v>40</v>
      </c>
      <c r="E52" s="322">
        <v>5</v>
      </c>
      <c r="F52" s="321">
        <v>5</v>
      </c>
      <c r="G52" s="321">
        <v>10</v>
      </c>
      <c r="H52" s="323">
        <v>20</v>
      </c>
      <c r="I52" s="439">
        <f t="shared" si="1"/>
        <v>5</v>
      </c>
      <c r="J52" s="322">
        <v>1</v>
      </c>
      <c r="K52" s="321">
        <v>1</v>
      </c>
      <c r="L52" s="321">
        <v>1</v>
      </c>
      <c r="M52" s="321">
        <v>1</v>
      </c>
      <c r="N52" s="321">
        <v>1</v>
      </c>
      <c r="O52" s="318">
        <v>1</v>
      </c>
      <c r="P52" s="318">
        <v>1</v>
      </c>
      <c r="Q52" s="324">
        <v>1</v>
      </c>
      <c r="R52" s="318">
        <v>1</v>
      </c>
      <c r="S52" s="319">
        <v>1</v>
      </c>
      <c r="T52" s="320">
        <v>5</v>
      </c>
      <c r="U52" s="318">
        <v>5</v>
      </c>
      <c r="V52" s="319">
        <v>10</v>
      </c>
    </row>
    <row r="53" spans="1:22">
      <c r="A53" s="714">
        <v>50</v>
      </c>
      <c r="B53" s="321" t="s">
        <v>231</v>
      </c>
      <c r="C53" s="321">
        <v>30</v>
      </c>
      <c r="D53" s="435">
        <f t="shared" si="0"/>
        <v>30</v>
      </c>
      <c r="E53" s="322">
        <v>0</v>
      </c>
      <c r="F53" s="321">
        <v>0</v>
      </c>
      <c r="G53" s="321">
        <v>10</v>
      </c>
      <c r="H53" s="323">
        <v>20</v>
      </c>
      <c r="I53" s="439">
        <f t="shared" si="1"/>
        <v>3</v>
      </c>
      <c r="J53" s="322">
        <v>1</v>
      </c>
      <c r="K53" s="321">
        <v>0</v>
      </c>
      <c r="L53" s="321">
        <v>1</v>
      </c>
      <c r="M53" s="321">
        <v>0</v>
      </c>
      <c r="N53" s="321">
        <v>1</v>
      </c>
      <c r="O53" s="318">
        <v>1</v>
      </c>
      <c r="P53" s="318">
        <v>0</v>
      </c>
      <c r="Q53" s="324">
        <v>1</v>
      </c>
      <c r="R53" s="318">
        <v>0</v>
      </c>
      <c r="S53" s="319">
        <v>1</v>
      </c>
      <c r="T53" s="320">
        <v>0</v>
      </c>
      <c r="U53" s="318">
        <v>0</v>
      </c>
      <c r="V53" s="319">
        <v>10</v>
      </c>
    </row>
    <row r="54" spans="1:22">
      <c r="A54" s="714">
        <v>51</v>
      </c>
      <c r="B54" s="321" t="s">
        <v>232</v>
      </c>
      <c r="C54" s="321">
        <v>15</v>
      </c>
      <c r="D54" s="435">
        <f t="shared" si="0"/>
        <v>15</v>
      </c>
      <c r="E54" s="322">
        <v>0</v>
      </c>
      <c r="F54" s="321">
        <v>0</v>
      </c>
      <c r="G54" s="321">
        <v>10</v>
      </c>
      <c r="H54" s="323">
        <v>5</v>
      </c>
      <c r="I54" s="439">
        <f t="shared" si="1"/>
        <v>3</v>
      </c>
      <c r="J54" s="322">
        <v>1</v>
      </c>
      <c r="K54" s="321">
        <v>0</v>
      </c>
      <c r="L54" s="321">
        <v>1</v>
      </c>
      <c r="M54" s="321">
        <v>0</v>
      </c>
      <c r="N54" s="321">
        <v>1</v>
      </c>
      <c r="O54" s="318">
        <v>1</v>
      </c>
      <c r="P54" s="318">
        <v>0</v>
      </c>
      <c r="Q54" s="324">
        <v>1</v>
      </c>
      <c r="R54" s="318">
        <v>0</v>
      </c>
      <c r="S54" s="319">
        <v>1</v>
      </c>
      <c r="T54" s="320">
        <v>0</v>
      </c>
      <c r="U54" s="318">
        <v>0</v>
      </c>
      <c r="V54" s="319">
        <v>10</v>
      </c>
    </row>
    <row r="55" spans="1:22">
      <c r="A55" s="714">
        <v>52</v>
      </c>
      <c r="B55" s="321" t="s">
        <v>233</v>
      </c>
      <c r="C55" s="321">
        <v>20</v>
      </c>
      <c r="D55" s="435">
        <f t="shared" si="0"/>
        <v>20</v>
      </c>
      <c r="E55" s="322">
        <v>0</v>
      </c>
      <c r="F55" s="321">
        <v>0</v>
      </c>
      <c r="G55" s="321">
        <v>10</v>
      </c>
      <c r="H55" s="323">
        <v>10</v>
      </c>
      <c r="I55" s="439">
        <f t="shared" si="1"/>
        <v>3</v>
      </c>
      <c r="J55" s="322">
        <v>1</v>
      </c>
      <c r="K55" s="321">
        <v>0</v>
      </c>
      <c r="L55" s="321">
        <v>1</v>
      </c>
      <c r="M55" s="321">
        <v>0</v>
      </c>
      <c r="N55" s="321">
        <v>1</v>
      </c>
      <c r="O55" s="318">
        <v>1</v>
      </c>
      <c r="P55" s="318">
        <v>0</v>
      </c>
      <c r="Q55" s="324">
        <v>1</v>
      </c>
      <c r="R55" s="318">
        <v>0</v>
      </c>
      <c r="S55" s="319">
        <v>1</v>
      </c>
      <c r="T55" s="320">
        <v>0</v>
      </c>
      <c r="U55" s="318">
        <v>0</v>
      </c>
      <c r="V55" s="319">
        <v>10</v>
      </c>
    </row>
    <row r="56" spans="1:22">
      <c r="A56" s="714">
        <v>53</v>
      </c>
      <c r="B56" s="321" t="s">
        <v>234</v>
      </c>
      <c r="C56" s="321">
        <v>30</v>
      </c>
      <c r="D56" s="435">
        <f t="shared" si="0"/>
        <v>30</v>
      </c>
      <c r="E56" s="322">
        <v>5</v>
      </c>
      <c r="F56" s="321">
        <v>5</v>
      </c>
      <c r="G56" s="321">
        <v>10</v>
      </c>
      <c r="H56" s="323">
        <v>10</v>
      </c>
      <c r="I56" s="439">
        <f t="shared" si="1"/>
        <v>5</v>
      </c>
      <c r="J56" s="322">
        <v>1</v>
      </c>
      <c r="K56" s="321">
        <v>1</v>
      </c>
      <c r="L56" s="321">
        <v>1</v>
      </c>
      <c r="M56" s="321">
        <v>1</v>
      </c>
      <c r="N56" s="321">
        <v>1</v>
      </c>
      <c r="O56" s="318">
        <v>1</v>
      </c>
      <c r="P56" s="318">
        <v>1</v>
      </c>
      <c r="Q56" s="324">
        <v>1</v>
      </c>
      <c r="R56" s="318">
        <v>1</v>
      </c>
      <c r="S56" s="319">
        <v>1</v>
      </c>
      <c r="T56" s="320">
        <v>5</v>
      </c>
      <c r="U56" s="318">
        <v>5</v>
      </c>
      <c r="V56" s="319">
        <v>10</v>
      </c>
    </row>
    <row r="57" spans="1:22">
      <c r="A57" s="714">
        <v>54</v>
      </c>
      <c r="B57" s="321" t="s">
        <v>235</v>
      </c>
      <c r="C57" s="321">
        <v>25</v>
      </c>
      <c r="D57" s="435">
        <f t="shared" si="0"/>
        <v>30</v>
      </c>
      <c r="E57" s="322">
        <v>5</v>
      </c>
      <c r="F57" s="321">
        <v>5</v>
      </c>
      <c r="G57" s="321">
        <v>10</v>
      </c>
      <c r="H57" s="323">
        <v>10</v>
      </c>
      <c r="I57" s="439">
        <f t="shared" si="1"/>
        <v>5</v>
      </c>
      <c r="J57" s="322">
        <v>1</v>
      </c>
      <c r="K57" s="321">
        <v>1</v>
      </c>
      <c r="L57" s="321">
        <v>1</v>
      </c>
      <c r="M57" s="321">
        <v>1</v>
      </c>
      <c r="N57" s="321">
        <v>1</v>
      </c>
      <c r="O57" s="318">
        <v>1</v>
      </c>
      <c r="P57" s="318">
        <v>1</v>
      </c>
      <c r="Q57" s="324">
        <v>1</v>
      </c>
      <c r="R57" s="318">
        <v>1</v>
      </c>
      <c r="S57" s="319">
        <v>1</v>
      </c>
      <c r="T57" s="320">
        <v>5</v>
      </c>
      <c r="U57" s="318">
        <v>5</v>
      </c>
      <c r="V57" s="319">
        <v>10</v>
      </c>
    </row>
    <row r="58" spans="1:22">
      <c r="A58" s="714">
        <v>55</v>
      </c>
      <c r="B58" s="321" t="s">
        <v>236</v>
      </c>
      <c r="C58" s="321">
        <v>25</v>
      </c>
      <c r="D58" s="435">
        <f t="shared" si="0"/>
        <v>30</v>
      </c>
      <c r="E58" s="322">
        <v>0</v>
      </c>
      <c r="F58" s="321">
        <v>0</v>
      </c>
      <c r="G58" s="321">
        <v>20</v>
      </c>
      <c r="H58" s="323">
        <v>10</v>
      </c>
      <c r="I58" s="439">
        <f t="shared" si="1"/>
        <v>4</v>
      </c>
      <c r="J58" s="322">
        <v>1</v>
      </c>
      <c r="K58" s="321">
        <v>0</v>
      </c>
      <c r="L58" s="321">
        <v>1</v>
      </c>
      <c r="M58" s="321">
        <v>1</v>
      </c>
      <c r="N58" s="321">
        <v>1</v>
      </c>
      <c r="O58" s="318">
        <v>1</v>
      </c>
      <c r="P58" s="318">
        <v>0</v>
      </c>
      <c r="Q58" s="324">
        <v>1</v>
      </c>
      <c r="R58" s="318">
        <v>1</v>
      </c>
      <c r="S58" s="319">
        <v>1</v>
      </c>
      <c r="T58" s="320">
        <v>0</v>
      </c>
      <c r="U58" s="318">
        <v>0</v>
      </c>
      <c r="V58" s="319">
        <v>20</v>
      </c>
    </row>
    <row r="59" spans="1:22">
      <c r="A59" s="714">
        <v>56</v>
      </c>
      <c r="B59" s="321" t="s">
        <v>237</v>
      </c>
      <c r="C59" s="321">
        <v>20</v>
      </c>
      <c r="D59" s="435">
        <f t="shared" si="0"/>
        <v>20</v>
      </c>
      <c r="E59" s="322">
        <v>0</v>
      </c>
      <c r="F59" s="321">
        <v>0</v>
      </c>
      <c r="G59" s="321">
        <v>10</v>
      </c>
      <c r="H59" s="323">
        <v>10</v>
      </c>
      <c r="I59" s="439">
        <f t="shared" si="1"/>
        <v>3</v>
      </c>
      <c r="J59" s="322">
        <v>1</v>
      </c>
      <c r="K59" s="321">
        <v>0</v>
      </c>
      <c r="L59" s="321">
        <v>1</v>
      </c>
      <c r="M59" s="321">
        <v>0</v>
      </c>
      <c r="N59" s="321">
        <v>1</v>
      </c>
      <c r="O59" s="318">
        <v>1</v>
      </c>
      <c r="P59" s="318">
        <v>0</v>
      </c>
      <c r="Q59" s="324">
        <v>1</v>
      </c>
      <c r="R59" s="318">
        <v>0</v>
      </c>
      <c r="S59" s="319">
        <v>1</v>
      </c>
      <c r="T59" s="320">
        <v>0</v>
      </c>
      <c r="U59" s="318">
        <v>0</v>
      </c>
      <c r="V59" s="319">
        <v>10</v>
      </c>
    </row>
    <row r="60" spans="1:22">
      <c r="A60" s="714">
        <v>57</v>
      </c>
      <c r="B60" s="321" t="s">
        <v>238</v>
      </c>
      <c r="C60" s="321">
        <v>40</v>
      </c>
      <c r="D60" s="435">
        <f t="shared" si="0"/>
        <v>40</v>
      </c>
      <c r="E60" s="322">
        <v>0</v>
      </c>
      <c r="F60" s="321">
        <v>10</v>
      </c>
      <c r="G60" s="321">
        <v>10</v>
      </c>
      <c r="H60" s="323">
        <v>20</v>
      </c>
      <c r="I60" s="439">
        <f t="shared" si="1"/>
        <v>2</v>
      </c>
      <c r="J60" s="322">
        <v>1</v>
      </c>
      <c r="K60" s="321">
        <v>0</v>
      </c>
      <c r="L60" s="321">
        <v>1</v>
      </c>
      <c r="M60" s="321">
        <v>0</v>
      </c>
      <c r="N60" s="321">
        <v>0</v>
      </c>
      <c r="O60" s="318">
        <v>1</v>
      </c>
      <c r="P60" s="318">
        <v>0</v>
      </c>
      <c r="Q60" s="324">
        <v>1</v>
      </c>
      <c r="R60" s="318">
        <v>0</v>
      </c>
      <c r="S60" s="319">
        <v>0</v>
      </c>
      <c r="T60" s="320">
        <v>0</v>
      </c>
      <c r="U60" s="318">
        <v>10</v>
      </c>
      <c r="V60" s="319">
        <v>10</v>
      </c>
    </row>
    <row r="61" spans="1:22">
      <c r="A61" s="714">
        <v>58</v>
      </c>
      <c r="B61" s="321" t="s">
        <v>239</v>
      </c>
      <c r="C61" s="321">
        <v>20</v>
      </c>
      <c r="D61" s="435">
        <f t="shared" si="0"/>
        <v>20</v>
      </c>
      <c r="E61" s="322">
        <v>0</v>
      </c>
      <c r="F61" s="321">
        <v>0</v>
      </c>
      <c r="G61" s="321">
        <v>10</v>
      </c>
      <c r="H61" s="323">
        <v>10</v>
      </c>
      <c r="I61" s="439">
        <f t="shared" si="1"/>
        <v>2</v>
      </c>
      <c r="J61" s="322">
        <v>1</v>
      </c>
      <c r="K61" s="321">
        <v>0</v>
      </c>
      <c r="L61" s="321">
        <v>1</v>
      </c>
      <c r="M61" s="321">
        <v>0</v>
      </c>
      <c r="N61" s="321">
        <v>0</v>
      </c>
      <c r="O61" s="318">
        <v>1</v>
      </c>
      <c r="P61" s="318">
        <v>0</v>
      </c>
      <c r="Q61" s="324">
        <v>1</v>
      </c>
      <c r="R61" s="318">
        <v>0</v>
      </c>
      <c r="S61" s="319">
        <v>0</v>
      </c>
      <c r="T61" s="320">
        <v>0</v>
      </c>
      <c r="U61" s="318">
        <v>0</v>
      </c>
      <c r="V61" s="319">
        <v>10</v>
      </c>
    </row>
    <row r="62" spans="1:22">
      <c r="A62" s="714">
        <v>59</v>
      </c>
      <c r="B62" s="321" t="s">
        <v>240</v>
      </c>
      <c r="C62" s="321">
        <v>15</v>
      </c>
      <c r="D62" s="435">
        <f t="shared" si="0"/>
        <v>15</v>
      </c>
      <c r="E62" s="322">
        <v>0</v>
      </c>
      <c r="F62" s="321">
        <v>0</v>
      </c>
      <c r="G62" s="321">
        <v>10</v>
      </c>
      <c r="H62" s="323">
        <v>5</v>
      </c>
      <c r="I62" s="439">
        <f t="shared" si="1"/>
        <v>2</v>
      </c>
      <c r="J62" s="322">
        <v>1</v>
      </c>
      <c r="K62" s="321">
        <v>0</v>
      </c>
      <c r="L62" s="321">
        <v>1</v>
      </c>
      <c r="M62" s="321">
        <v>0</v>
      </c>
      <c r="N62" s="321">
        <v>0</v>
      </c>
      <c r="O62" s="318">
        <v>1</v>
      </c>
      <c r="P62" s="318">
        <v>0</v>
      </c>
      <c r="Q62" s="324">
        <v>1</v>
      </c>
      <c r="R62" s="318">
        <v>0</v>
      </c>
      <c r="S62" s="319">
        <v>0</v>
      </c>
      <c r="T62" s="320">
        <v>0</v>
      </c>
      <c r="U62" s="318">
        <v>0</v>
      </c>
      <c r="V62" s="319">
        <v>10</v>
      </c>
    </row>
    <row r="63" spans="1:22" ht="16.5" thickBot="1">
      <c r="A63" s="325">
        <v>60</v>
      </c>
      <c r="B63" s="326" t="s">
        <v>241</v>
      </c>
      <c r="C63" s="326">
        <v>25</v>
      </c>
      <c r="D63" s="436">
        <f t="shared" si="0"/>
        <v>25</v>
      </c>
      <c r="E63" s="327">
        <v>3</v>
      </c>
      <c r="F63" s="326">
        <v>3</v>
      </c>
      <c r="G63" s="326">
        <v>9</v>
      </c>
      <c r="H63" s="328">
        <v>10</v>
      </c>
      <c r="I63" s="440">
        <f t="shared" si="1"/>
        <v>3</v>
      </c>
      <c r="J63" s="327">
        <v>1</v>
      </c>
      <c r="K63" s="326">
        <v>0</v>
      </c>
      <c r="L63" s="326">
        <v>1</v>
      </c>
      <c r="M63" s="326">
        <v>0</v>
      </c>
      <c r="N63" s="326">
        <v>1</v>
      </c>
      <c r="O63" s="329">
        <v>1</v>
      </c>
      <c r="P63" s="329">
        <v>0</v>
      </c>
      <c r="Q63" s="330">
        <v>1</v>
      </c>
      <c r="R63" s="329">
        <v>0</v>
      </c>
      <c r="S63" s="331">
        <v>1</v>
      </c>
      <c r="T63" s="332">
        <v>3</v>
      </c>
      <c r="U63" s="329">
        <v>3</v>
      </c>
      <c r="V63" s="331">
        <v>9</v>
      </c>
    </row>
    <row r="64" spans="1:22" ht="16.5" thickBot="1">
      <c r="A64" s="1032" t="s">
        <v>259</v>
      </c>
      <c r="B64" s="1033"/>
      <c r="C64" s="708">
        <f>SUM(C4:C63)</f>
        <v>1630</v>
      </c>
      <c r="D64" s="437">
        <f>SUM(D4:D63)</f>
        <v>1955</v>
      </c>
      <c r="E64" s="442">
        <f t="shared" ref="E64:V64" si="2">SUM(E4:E63)</f>
        <v>268</v>
      </c>
      <c r="F64" s="708">
        <f>SUM(F4:F63)</f>
        <v>243</v>
      </c>
      <c r="G64" s="443">
        <f t="shared" si="2"/>
        <v>699</v>
      </c>
      <c r="H64" s="708">
        <f t="shared" si="2"/>
        <v>745</v>
      </c>
      <c r="I64" s="441">
        <f t="shared" si="2"/>
        <v>215</v>
      </c>
      <c r="J64" s="707">
        <f t="shared" si="2"/>
        <v>56</v>
      </c>
      <c r="K64" s="443">
        <f t="shared" si="2"/>
        <v>28</v>
      </c>
      <c r="L64" s="708">
        <f t="shared" si="2"/>
        <v>56</v>
      </c>
      <c r="M64" s="443">
        <f t="shared" si="2"/>
        <v>22.5</v>
      </c>
      <c r="N64" s="708">
        <f t="shared" si="2"/>
        <v>52.5</v>
      </c>
      <c r="O64" s="444">
        <f t="shared" si="2"/>
        <v>56</v>
      </c>
      <c r="P64" s="445">
        <f t="shared" si="2"/>
        <v>28</v>
      </c>
      <c r="Q64" s="445">
        <f t="shared" si="2"/>
        <v>56</v>
      </c>
      <c r="R64" s="445">
        <f t="shared" si="2"/>
        <v>22.5</v>
      </c>
      <c r="S64" s="446">
        <f t="shared" si="2"/>
        <v>52.5</v>
      </c>
      <c r="T64" s="444">
        <f t="shared" si="2"/>
        <v>268</v>
      </c>
      <c r="U64" s="445">
        <f t="shared" si="2"/>
        <v>243</v>
      </c>
      <c r="V64" s="446">
        <f t="shared" si="2"/>
        <v>699</v>
      </c>
    </row>
    <row r="65" spans="1:35">
      <c r="A65" s="1028" t="s">
        <v>271</v>
      </c>
      <c r="B65" s="1029"/>
      <c r="C65" s="1029"/>
      <c r="D65" s="1029"/>
      <c r="E65" s="314">
        <v>5</v>
      </c>
      <c r="F65" s="313">
        <v>4</v>
      </c>
      <c r="G65" s="313">
        <v>4</v>
      </c>
      <c r="H65" s="313">
        <v>25</v>
      </c>
      <c r="I65" s="335"/>
      <c r="J65" s="314">
        <v>1.75</v>
      </c>
      <c r="K65" s="313">
        <v>0.85</v>
      </c>
      <c r="L65" s="313">
        <v>3</v>
      </c>
      <c r="M65" s="313">
        <v>2.5</v>
      </c>
      <c r="N65" s="313">
        <v>0.1</v>
      </c>
      <c r="O65" s="336">
        <v>1.75</v>
      </c>
      <c r="P65" s="316">
        <v>0.85</v>
      </c>
      <c r="Q65" s="317">
        <v>3</v>
      </c>
      <c r="R65" s="316">
        <v>2.5</v>
      </c>
      <c r="S65" s="337">
        <v>0.1</v>
      </c>
      <c r="T65" s="336">
        <v>5</v>
      </c>
      <c r="U65" s="316">
        <v>4</v>
      </c>
      <c r="V65" s="337">
        <v>4</v>
      </c>
    </row>
    <row r="66" spans="1:35">
      <c r="A66" s="1030" t="s">
        <v>257</v>
      </c>
      <c r="B66" s="1031"/>
      <c r="C66" s="1031"/>
      <c r="D66" s="1031"/>
      <c r="E66" s="447">
        <f>E64*E65</f>
        <v>1340</v>
      </c>
      <c r="F66" s="448">
        <f t="shared" ref="F66:H66" si="3">F64*F65</f>
        <v>972</v>
      </c>
      <c r="G66" s="448">
        <f t="shared" si="3"/>
        <v>2796</v>
      </c>
      <c r="H66" s="448">
        <f t="shared" si="3"/>
        <v>18625</v>
      </c>
      <c r="I66" s="449"/>
      <c r="J66" s="447">
        <f>J64*J65</f>
        <v>98</v>
      </c>
      <c r="K66" s="448">
        <f t="shared" ref="K66:V66" si="4">K64*K65</f>
        <v>23.8</v>
      </c>
      <c r="L66" s="448">
        <f t="shared" si="4"/>
        <v>168</v>
      </c>
      <c r="M66" s="448">
        <f t="shared" si="4"/>
        <v>56.25</v>
      </c>
      <c r="N66" s="448">
        <f t="shared" si="4"/>
        <v>5.25</v>
      </c>
      <c r="O66" s="450">
        <f>O64*O65</f>
        <v>98</v>
      </c>
      <c r="P66" s="448">
        <f t="shared" si="4"/>
        <v>23.8</v>
      </c>
      <c r="Q66" s="435">
        <f t="shared" si="4"/>
        <v>168</v>
      </c>
      <c r="R66" s="451">
        <f t="shared" si="4"/>
        <v>56.25</v>
      </c>
      <c r="S66" s="452">
        <f t="shared" si="4"/>
        <v>5.25</v>
      </c>
      <c r="T66" s="453">
        <f t="shared" si="4"/>
        <v>1340</v>
      </c>
      <c r="U66" s="451">
        <f t="shared" si="4"/>
        <v>972</v>
      </c>
      <c r="V66" s="452">
        <f t="shared" si="4"/>
        <v>2796</v>
      </c>
    </row>
    <row r="67" spans="1:35">
      <c r="A67" s="1030" t="s">
        <v>256</v>
      </c>
      <c r="B67" s="1031"/>
      <c r="C67" s="1031"/>
      <c r="D67" s="1031"/>
      <c r="E67" s="322">
        <v>500</v>
      </c>
      <c r="F67" s="321">
        <v>1000</v>
      </c>
      <c r="G67" s="321">
        <v>500</v>
      </c>
      <c r="H67" s="321">
        <v>1000</v>
      </c>
      <c r="I67" s="338"/>
      <c r="J67" s="322">
        <v>2000</v>
      </c>
      <c r="K67" s="321">
        <v>1400</v>
      </c>
      <c r="L67" s="321">
        <v>2600</v>
      </c>
      <c r="M67" s="321">
        <v>1090</v>
      </c>
      <c r="N67" s="321">
        <v>2880</v>
      </c>
      <c r="O67" s="339">
        <v>2220</v>
      </c>
      <c r="P67" s="321">
        <v>1480</v>
      </c>
      <c r="Q67" s="340">
        <v>1500</v>
      </c>
      <c r="R67" s="318">
        <v>1800</v>
      </c>
      <c r="S67" s="319">
        <v>3200</v>
      </c>
      <c r="T67" s="341">
        <v>500</v>
      </c>
      <c r="U67" s="318">
        <v>1000</v>
      </c>
      <c r="V67" s="319">
        <v>500</v>
      </c>
    </row>
    <row r="68" spans="1:35">
      <c r="A68" s="1030" t="s">
        <v>258</v>
      </c>
      <c r="B68" s="1031"/>
      <c r="C68" s="1031"/>
      <c r="D68" s="1031"/>
      <c r="E68" s="447">
        <f>E64*E67</f>
        <v>134000</v>
      </c>
      <c r="F68" s="448">
        <f t="shared" ref="F68:G68" si="5">F64*F67</f>
        <v>243000</v>
      </c>
      <c r="G68" s="448">
        <f t="shared" si="5"/>
        <v>349500</v>
      </c>
      <c r="H68" s="448">
        <f>H64*H67</f>
        <v>745000</v>
      </c>
      <c r="I68" s="449"/>
      <c r="J68" s="447">
        <f>J64*J67</f>
        <v>112000</v>
      </c>
      <c r="K68" s="448">
        <f t="shared" ref="K68:V68" si="6">K64*K67</f>
        <v>39200</v>
      </c>
      <c r="L68" s="448">
        <f t="shared" si="6"/>
        <v>145600</v>
      </c>
      <c r="M68" s="448">
        <f t="shared" si="6"/>
        <v>24525</v>
      </c>
      <c r="N68" s="448">
        <f t="shared" si="6"/>
        <v>151200</v>
      </c>
      <c r="O68" s="450">
        <f>O64*O67</f>
        <v>124320</v>
      </c>
      <c r="P68" s="448">
        <f t="shared" si="6"/>
        <v>41440</v>
      </c>
      <c r="Q68" s="435">
        <f t="shared" si="6"/>
        <v>84000</v>
      </c>
      <c r="R68" s="451">
        <f t="shared" si="6"/>
        <v>40500</v>
      </c>
      <c r="S68" s="452">
        <f t="shared" si="6"/>
        <v>168000</v>
      </c>
      <c r="T68" s="453">
        <f t="shared" si="6"/>
        <v>134000</v>
      </c>
      <c r="U68" s="451">
        <f t="shared" si="6"/>
        <v>243000</v>
      </c>
      <c r="V68" s="452">
        <f t="shared" si="6"/>
        <v>349500</v>
      </c>
    </row>
    <row r="69" spans="1:35">
      <c r="A69" s="1030" t="s">
        <v>261</v>
      </c>
      <c r="B69" s="1031"/>
      <c r="C69" s="1031"/>
      <c r="D69" s="1031"/>
      <c r="E69" s="342">
        <v>0.8</v>
      </c>
      <c r="F69" s="343">
        <v>0.8</v>
      </c>
      <c r="G69" s="343">
        <v>0.8</v>
      </c>
      <c r="H69" s="343">
        <v>0.8</v>
      </c>
      <c r="I69" s="338"/>
      <c r="J69" s="342">
        <v>0.8</v>
      </c>
      <c r="K69" s="343">
        <v>0.8</v>
      </c>
      <c r="L69" s="343">
        <v>0.8</v>
      </c>
      <c r="M69" s="343">
        <v>0.8</v>
      </c>
      <c r="N69" s="343">
        <v>0.8</v>
      </c>
      <c r="O69" s="344">
        <v>0.8</v>
      </c>
      <c r="P69" s="345">
        <v>0.8</v>
      </c>
      <c r="Q69" s="346">
        <v>0.8</v>
      </c>
      <c r="R69" s="347">
        <v>0.8</v>
      </c>
      <c r="S69" s="348">
        <v>0.8</v>
      </c>
      <c r="T69" s="349">
        <v>0.8</v>
      </c>
      <c r="U69" s="347">
        <v>0.8</v>
      </c>
      <c r="V69" s="348">
        <v>0.8</v>
      </c>
    </row>
    <row r="70" spans="1:35" ht="16.5" thickBot="1">
      <c r="A70" s="1050" t="s">
        <v>260</v>
      </c>
      <c r="B70" s="1051"/>
      <c r="C70" s="1051"/>
      <c r="D70" s="1052"/>
      <c r="E70" s="597">
        <f>E68*E69</f>
        <v>107200</v>
      </c>
      <c r="F70" s="598">
        <f>F68*F69</f>
        <v>194400</v>
      </c>
      <c r="G70" s="598">
        <f>G68*G69</f>
        <v>279600</v>
      </c>
      <c r="H70" s="598">
        <f>H68*H69</f>
        <v>596000</v>
      </c>
      <c r="I70" s="599"/>
      <c r="J70" s="597">
        <f t="shared" ref="J70:V70" si="7">J68*J69</f>
        <v>89600</v>
      </c>
      <c r="K70" s="598">
        <f t="shared" si="7"/>
        <v>31360</v>
      </c>
      <c r="L70" s="598">
        <f t="shared" si="7"/>
        <v>116480</v>
      </c>
      <c r="M70" s="598">
        <f t="shared" si="7"/>
        <v>19620</v>
      </c>
      <c r="N70" s="598">
        <f t="shared" si="7"/>
        <v>120960</v>
      </c>
      <c r="O70" s="600">
        <f t="shared" si="7"/>
        <v>99456</v>
      </c>
      <c r="P70" s="598">
        <f t="shared" si="7"/>
        <v>33152</v>
      </c>
      <c r="Q70" s="436">
        <f t="shared" si="7"/>
        <v>67200</v>
      </c>
      <c r="R70" s="601">
        <f t="shared" si="7"/>
        <v>32400</v>
      </c>
      <c r="S70" s="602">
        <f t="shared" si="7"/>
        <v>134400</v>
      </c>
      <c r="T70" s="603">
        <f t="shared" si="7"/>
        <v>107200</v>
      </c>
      <c r="U70" s="601">
        <f t="shared" si="7"/>
        <v>194400</v>
      </c>
      <c r="V70" s="602">
        <f t="shared" si="7"/>
        <v>279600</v>
      </c>
    </row>
    <row r="71" spans="1:35" ht="16.5" thickBot="1">
      <c r="A71" s="1071" t="s">
        <v>436</v>
      </c>
      <c r="B71" s="1072"/>
      <c r="C71" s="1072"/>
      <c r="D71" s="1072"/>
      <c r="E71" s="604">
        <v>0.02</v>
      </c>
      <c r="F71" s="605">
        <v>0.03</v>
      </c>
      <c r="G71" s="605">
        <v>0.04</v>
      </c>
      <c r="H71" s="606">
        <v>0.02</v>
      </c>
      <c r="I71" s="607"/>
      <c r="J71" s="606">
        <v>0.04</v>
      </c>
      <c r="K71" s="605">
        <v>0.03</v>
      </c>
      <c r="L71" s="605">
        <v>0.02</v>
      </c>
      <c r="M71" s="606">
        <v>0.04</v>
      </c>
      <c r="N71" s="606">
        <v>0.03</v>
      </c>
      <c r="O71" s="606">
        <v>0.02</v>
      </c>
      <c r="P71" s="606">
        <v>0.04</v>
      </c>
      <c r="Q71" s="606">
        <v>0.03</v>
      </c>
      <c r="R71" s="607">
        <v>0.02</v>
      </c>
      <c r="S71" s="607">
        <v>0.04</v>
      </c>
      <c r="T71" s="607">
        <v>0.03</v>
      </c>
      <c r="U71" s="607">
        <v>0.02</v>
      </c>
      <c r="V71" s="608">
        <v>0.04</v>
      </c>
      <c r="W71" s="353"/>
    </row>
    <row r="72" spans="1:35">
      <c r="A72" s="350"/>
      <c r="B72" s="350"/>
      <c r="C72" s="350"/>
      <c r="D72" s="350"/>
      <c r="E72" s="351"/>
      <c r="F72" s="351"/>
      <c r="G72" s="351"/>
      <c r="H72" s="351"/>
      <c r="I72" s="352"/>
      <c r="J72" s="351"/>
      <c r="K72" s="351"/>
      <c r="L72" s="351"/>
      <c r="M72" s="351"/>
      <c r="N72" s="351"/>
      <c r="O72" s="351"/>
      <c r="P72" s="351"/>
      <c r="Q72" s="351"/>
      <c r="R72" s="352"/>
      <c r="S72" s="352"/>
      <c r="T72" s="352"/>
      <c r="U72" s="352"/>
      <c r="V72" s="352"/>
      <c r="W72" s="353"/>
    </row>
    <row r="73" spans="1:35">
      <c r="A73" s="350"/>
      <c r="B73" s="350"/>
      <c r="C73" s="350"/>
      <c r="D73" s="350"/>
      <c r="E73" s="351"/>
      <c r="F73" s="351"/>
      <c r="G73" s="351"/>
      <c r="H73" s="351"/>
      <c r="I73" s="352"/>
      <c r="J73" s="351"/>
      <c r="K73" s="351"/>
      <c r="L73" s="351"/>
      <c r="M73" s="351"/>
      <c r="N73" s="351"/>
      <c r="O73" s="351"/>
      <c r="P73" s="351"/>
      <c r="Q73" s="351"/>
      <c r="R73" s="352"/>
      <c r="S73" s="352"/>
      <c r="T73" s="352"/>
      <c r="U73" s="352"/>
      <c r="V73" s="352"/>
      <c r="W73" s="353"/>
    </row>
    <row r="74" spans="1:35" ht="16.5" thickBot="1">
      <c r="A74" s="350"/>
      <c r="B74" s="350"/>
      <c r="C74" s="350"/>
      <c r="D74" s="350"/>
      <c r="E74" s="351"/>
      <c r="F74" s="351"/>
      <c r="G74" s="351"/>
      <c r="H74" s="351"/>
      <c r="I74" s="352"/>
      <c r="J74" s="351"/>
      <c r="K74" s="351"/>
      <c r="L74" s="351"/>
      <c r="M74" s="351"/>
      <c r="N74" s="351"/>
      <c r="O74" s="351"/>
      <c r="P74" s="351"/>
      <c r="Q74" s="351"/>
      <c r="R74" s="352"/>
      <c r="S74" s="352"/>
      <c r="T74" s="352"/>
      <c r="U74" s="352"/>
      <c r="V74" s="352"/>
      <c r="W74" s="353"/>
      <c r="X74" s="353"/>
      <c r="Y74" s="353"/>
      <c r="Z74" s="353"/>
      <c r="AA74" s="353"/>
      <c r="AB74" s="353"/>
      <c r="AC74" s="353"/>
      <c r="AD74" s="353"/>
      <c r="AE74" s="353"/>
      <c r="AF74" s="353"/>
      <c r="AG74" s="353"/>
      <c r="AH74" s="353"/>
      <c r="AI74" s="353"/>
    </row>
    <row r="75" spans="1:35" ht="16.5" thickBot="1">
      <c r="A75" s="354" t="s">
        <v>274</v>
      </c>
      <c r="B75" s="545" t="s">
        <v>275</v>
      </c>
      <c r="C75" s="550" t="s">
        <v>341</v>
      </c>
      <c r="D75" s="355"/>
      <c r="E75" s="1053" t="s">
        <v>289</v>
      </c>
      <c r="F75" s="1054"/>
      <c r="G75" s="1054"/>
      <c r="H75" s="1054"/>
      <c r="I75" s="1055"/>
      <c r="J75" s="355"/>
      <c r="Q75" s="356"/>
      <c r="R75" s="355"/>
      <c r="S75" s="355"/>
      <c r="T75" s="355"/>
      <c r="U75" s="352"/>
      <c r="V75" s="352"/>
      <c r="W75" s="353"/>
      <c r="X75" s="353"/>
      <c r="Y75" s="353"/>
      <c r="Z75" s="353"/>
      <c r="AA75" s="353"/>
      <c r="AB75" s="353"/>
      <c r="AC75" s="353"/>
      <c r="AD75" s="353"/>
      <c r="AE75" s="353"/>
      <c r="AF75" s="353"/>
      <c r="AG75" s="353"/>
      <c r="AH75" s="353"/>
      <c r="AI75" s="353"/>
    </row>
    <row r="76" spans="1:35">
      <c r="A76" s="1048" t="s">
        <v>143</v>
      </c>
      <c r="B76" s="1049"/>
      <c r="C76" s="549"/>
      <c r="D76" s="358"/>
      <c r="E76" s="359" t="s">
        <v>282</v>
      </c>
      <c r="F76" s="360" t="s">
        <v>283</v>
      </c>
      <c r="G76" s="360" t="s">
        <v>284</v>
      </c>
      <c r="H76" s="360" t="s">
        <v>285</v>
      </c>
      <c r="I76" s="361" t="s">
        <v>47</v>
      </c>
      <c r="Q76" s="356"/>
      <c r="R76" s="293"/>
      <c r="S76" s="293"/>
      <c r="T76" s="293"/>
    </row>
    <row r="77" spans="1:35">
      <c r="A77" s="320" t="s">
        <v>144</v>
      </c>
      <c r="B77" s="324">
        <v>20000</v>
      </c>
      <c r="C77" s="547"/>
      <c r="D77" s="301"/>
      <c r="E77" s="362">
        <v>1</v>
      </c>
      <c r="F77" s="290" t="s">
        <v>286</v>
      </c>
      <c r="G77" s="291">
        <v>1</v>
      </c>
      <c r="H77" s="290">
        <v>6500</v>
      </c>
      <c r="I77" s="454">
        <f>H77*G77</f>
        <v>6500</v>
      </c>
      <c r="Q77" s="356"/>
      <c r="R77" s="293"/>
      <c r="S77" s="293"/>
      <c r="T77" s="293"/>
    </row>
    <row r="78" spans="1:35">
      <c r="A78" s="320" t="s">
        <v>145</v>
      </c>
      <c r="B78" s="324">
        <v>5000</v>
      </c>
      <c r="C78" s="547"/>
      <c r="D78" s="301"/>
      <c r="E78" s="362">
        <v>2</v>
      </c>
      <c r="F78" s="290" t="s">
        <v>287</v>
      </c>
      <c r="G78" s="291">
        <v>1</v>
      </c>
      <c r="H78" s="290">
        <v>3500</v>
      </c>
      <c r="I78" s="454">
        <f t="shared" ref="I78:I79" si="8">H78*G78</f>
        <v>3500</v>
      </c>
      <c r="Q78" s="356"/>
      <c r="R78" s="293"/>
      <c r="S78" s="293"/>
      <c r="T78" s="293"/>
    </row>
    <row r="79" spans="1:35">
      <c r="A79" s="320" t="s">
        <v>146</v>
      </c>
      <c r="B79" s="324">
        <v>15000</v>
      </c>
      <c r="C79" s="547"/>
      <c r="D79" s="301"/>
      <c r="E79" s="362">
        <v>3</v>
      </c>
      <c r="F79" s="290" t="s">
        <v>288</v>
      </c>
      <c r="G79" s="291">
        <v>6</v>
      </c>
      <c r="H79" s="290">
        <v>4000</v>
      </c>
      <c r="I79" s="454">
        <f t="shared" si="8"/>
        <v>24000</v>
      </c>
      <c r="Q79" s="356"/>
      <c r="R79" s="293"/>
      <c r="S79" s="293"/>
      <c r="T79" s="293"/>
    </row>
    <row r="80" spans="1:35">
      <c r="A80" s="320" t="s">
        <v>147</v>
      </c>
      <c r="B80" s="324">
        <v>20000</v>
      </c>
      <c r="C80" s="547"/>
      <c r="D80" s="301"/>
      <c r="E80" s="362"/>
      <c r="F80" s="290"/>
      <c r="G80" s="290"/>
      <c r="H80" s="290"/>
      <c r="I80" s="454">
        <f>SUM(I77:I79)</f>
        <v>34000</v>
      </c>
      <c r="Q80" s="356"/>
      <c r="R80" s="293"/>
      <c r="S80" s="293"/>
      <c r="T80" s="293"/>
    </row>
    <row r="81" spans="1:20" ht="16.5" thickBot="1">
      <c r="A81" s="320" t="s">
        <v>148</v>
      </c>
      <c r="B81" s="324">
        <v>15000</v>
      </c>
      <c r="C81" s="547"/>
      <c r="D81" s="301"/>
      <c r="E81" s="363"/>
      <c r="F81" s="302"/>
      <c r="G81" s="302"/>
      <c r="H81" s="302"/>
      <c r="I81" s="364"/>
      <c r="Q81" s="356"/>
      <c r="R81" s="293"/>
      <c r="S81" s="293"/>
      <c r="T81" s="293"/>
    </row>
    <row r="82" spans="1:20">
      <c r="A82" s="320" t="s">
        <v>149</v>
      </c>
      <c r="B82" s="324">
        <v>15000</v>
      </c>
      <c r="C82" s="547"/>
      <c r="D82" s="301"/>
      <c r="E82" s="365"/>
      <c r="F82" s="293"/>
      <c r="G82" s="293"/>
      <c r="H82" s="293"/>
      <c r="I82" s="293"/>
      <c r="Q82" s="356"/>
      <c r="R82" s="293"/>
      <c r="S82" s="293"/>
      <c r="T82" s="293"/>
    </row>
    <row r="83" spans="1:20">
      <c r="A83" s="320" t="s">
        <v>150</v>
      </c>
      <c r="B83" s="324">
        <v>15000</v>
      </c>
      <c r="C83" s="547"/>
      <c r="D83" s="301"/>
      <c r="E83" s="365"/>
      <c r="F83" s="293"/>
      <c r="G83" s="293"/>
      <c r="H83" s="293"/>
      <c r="I83" s="293"/>
      <c r="Q83" s="356"/>
      <c r="R83" s="293"/>
      <c r="S83" s="293"/>
      <c r="T83" s="293"/>
    </row>
    <row r="84" spans="1:20">
      <c r="A84" s="320" t="s">
        <v>151</v>
      </c>
      <c r="B84" s="324">
        <v>10000</v>
      </c>
      <c r="C84" s="547"/>
      <c r="D84" s="301"/>
      <c r="E84" s="365"/>
      <c r="F84" s="293"/>
      <c r="G84" s="293"/>
      <c r="H84" s="293"/>
      <c r="I84" s="293"/>
      <c r="Q84" s="356"/>
      <c r="R84" s="293"/>
      <c r="S84" s="293"/>
      <c r="T84" s="293"/>
    </row>
    <row r="85" spans="1:20">
      <c r="A85" s="320" t="s">
        <v>152</v>
      </c>
      <c r="B85" s="324">
        <v>15000</v>
      </c>
      <c r="C85" s="547"/>
      <c r="D85" s="301"/>
      <c r="E85" s="365"/>
      <c r="F85" s="293"/>
      <c r="G85" s="293"/>
      <c r="H85" s="293"/>
      <c r="I85" s="293"/>
      <c r="Q85" s="356"/>
      <c r="R85" s="293"/>
      <c r="S85" s="293"/>
      <c r="T85" s="293"/>
    </row>
    <row r="86" spans="1:20">
      <c r="A86" s="320" t="s">
        <v>153</v>
      </c>
      <c r="B86" s="324">
        <v>10000</v>
      </c>
      <c r="C86" s="547"/>
      <c r="D86" s="301"/>
      <c r="E86" s="365"/>
      <c r="F86" s="293"/>
      <c r="G86" s="293"/>
      <c r="H86" s="293"/>
      <c r="I86" s="293"/>
      <c r="Q86" s="356"/>
      <c r="R86" s="293"/>
      <c r="S86" s="293"/>
      <c r="T86" s="293"/>
    </row>
    <row r="87" spans="1:20">
      <c r="A87" s="320" t="s">
        <v>154</v>
      </c>
      <c r="B87" s="324">
        <v>5000</v>
      </c>
      <c r="C87" s="547"/>
      <c r="D87" s="301"/>
      <c r="E87" s="293"/>
      <c r="F87" s="366"/>
      <c r="G87" s="366"/>
      <c r="H87" s="366"/>
      <c r="I87" s="366"/>
      <c r="R87" s="366"/>
      <c r="S87" s="366"/>
      <c r="T87" s="366"/>
    </row>
    <row r="88" spans="1:20">
      <c r="A88" s="320" t="s">
        <v>272</v>
      </c>
      <c r="B88" s="324">
        <v>200</v>
      </c>
      <c r="C88" s="547"/>
      <c r="D88" s="301"/>
      <c r="E88" s="292"/>
      <c r="F88" s="292"/>
      <c r="G88" s="357"/>
      <c r="H88" s="357"/>
      <c r="I88" s="357"/>
      <c r="J88" s="367"/>
      <c r="N88" s="357"/>
    </row>
    <row r="89" spans="1:20">
      <c r="A89" s="1056" t="s">
        <v>156</v>
      </c>
      <c r="B89" s="1057"/>
      <c r="C89" s="547"/>
      <c r="D89" s="301"/>
      <c r="E89" s="300"/>
      <c r="F89" s="301"/>
      <c r="G89" s="292"/>
      <c r="H89" s="292"/>
      <c r="I89" s="292"/>
      <c r="J89" s="357"/>
      <c r="K89" s="357"/>
      <c r="L89" s="357"/>
      <c r="M89" s="357"/>
      <c r="N89" s="357"/>
    </row>
    <row r="90" spans="1:20">
      <c r="A90" s="320" t="s">
        <v>157</v>
      </c>
      <c r="B90" s="324">
        <v>15</v>
      </c>
      <c r="C90" s="547"/>
      <c r="D90" s="301"/>
      <c r="E90" s="368"/>
      <c r="F90" s="301"/>
      <c r="G90" s="292"/>
      <c r="H90" s="292"/>
      <c r="I90" s="292"/>
      <c r="J90" s="357"/>
      <c r="K90" s="357"/>
      <c r="L90" s="357"/>
      <c r="M90" s="357"/>
      <c r="N90" s="357"/>
    </row>
    <row r="91" spans="1:20">
      <c r="A91" s="320" t="s">
        <v>158</v>
      </c>
      <c r="B91" s="324">
        <v>15</v>
      </c>
      <c r="C91" s="547"/>
      <c r="D91" s="301"/>
      <c r="E91" s="369"/>
      <c r="F91" s="301"/>
      <c r="G91" s="292"/>
      <c r="H91" s="292"/>
      <c r="I91" s="292"/>
      <c r="J91" s="357"/>
      <c r="K91" s="357"/>
      <c r="L91" s="357"/>
      <c r="M91" s="357"/>
      <c r="N91" s="357"/>
    </row>
    <row r="92" spans="1:20">
      <c r="A92" s="320" t="s">
        <v>159</v>
      </c>
      <c r="B92" s="324">
        <v>40</v>
      </c>
      <c r="C92" s="547"/>
      <c r="G92" s="292"/>
      <c r="H92" s="292"/>
      <c r="I92" s="292"/>
      <c r="J92" s="357"/>
      <c r="K92" s="357"/>
      <c r="L92" s="357"/>
      <c r="M92" s="357"/>
      <c r="N92" s="357"/>
    </row>
    <row r="93" spans="1:20">
      <c r="A93" s="320" t="s">
        <v>160</v>
      </c>
      <c r="B93" s="324">
        <v>15</v>
      </c>
      <c r="C93" s="547"/>
      <c r="D93" s="292"/>
      <c r="E93" s="370"/>
      <c r="F93" s="292"/>
      <c r="G93" s="292"/>
      <c r="H93" s="292"/>
      <c r="I93" s="292"/>
      <c r="J93" s="357"/>
      <c r="K93" s="357"/>
      <c r="L93" s="357"/>
      <c r="M93" s="357"/>
      <c r="N93" s="357"/>
    </row>
    <row r="94" spans="1:20">
      <c r="A94" s="320" t="s">
        <v>161</v>
      </c>
      <c r="B94" s="324">
        <v>30</v>
      </c>
      <c r="C94" s="547"/>
      <c r="D94" s="292"/>
      <c r="E94" s="357"/>
      <c r="F94" s="293"/>
      <c r="G94" s="292"/>
      <c r="H94" s="292"/>
      <c r="I94" s="292"/>
      <c r="J94" s="357"/>
      <c r="K94" s="357"/>
      <c r="L94" s="357"/>
      <c r="M94" s="357"/>
      <c r="N94" s="357"/>
    </row>
    <row r="95" spans="1:20">
      <c r="A95" s="320" t="s">
        <v>162</v>
      </c>
      <c r="B95" s="324">
        <v>20</v>
      </c>
      <c r="C95" s="547"/>
      <c r="D95" s="292"/>
      <c r="E95" s="357"/>
      <c r="F95" s="293"/>
      <c r="G95" s="292"/>
      <c r="H95" s="292"/>
      <c r="I95" s="292"/>
      <c r="J95" s="357"/>
      <c r="K95" s="357"/>
      <c r="L95" s="357"/>
      <c r="M95" s="357"/>
      <c r="N95" s="357"/>
    </row>
    <row r="96" spans="1:20">
      <c r="A96" s="320" t="s">
        <v>163</v>
      </c>
      <c r="B96" s="324">
        <v>50</v>
      </c>
      <c r="C96" s="547"/>
      <c r="G96" s="293"/>
      <c r="H96" s="293"/>
      <c r="I96" s="293"/>
      <c r="J96" s="357"/>
      <c r="K96" s="357"/>
      <c r="L96" s="357"/>
      <c r="M96" s="357"/>
      <c r="N96" s="357"/>
    </row>
    <row r="97" spans="1:14">
      <c r="A97" s="320" t="s">
        <v>164</v>
      </c>
      <c r="B97" s="324">
        <v>15</v>
      </c>
      <c r="C97" s="547"/>
      <c r="G97" s="293"/>
      <c r="H97" s="293"/>
      <c r="I97" s="366"/>
      <c r="J97" s="357"/>
      <c r="K97" s="357"/>
      <c r="L97" s="357"/>
      <c r="M97" s="357"/>
      <c r="N97" s="357"/>
    </row>
    <row r="98" spans="1:14">
      <c r="A98" s="1056" t="s">
        <v>165</v>
      </c>
      <c r="B98" s="1057"/>
      <c r="C98" s="547"/>
      <c r="D98" s="357"/>
      <c r="E98" s="357"/>
      <c r="F98" s="357"/>
      <c r="G98" s="357"/>
      <c r="H98" s="357"/>
      <c r="I98" s="357"/>
      <c r="J98" s="357"/>
      <c r="K98" s="357"/>
      <c r="L98" s="357"/>
      <c r="M98" s="357"/>
      <c r="N98" s="357"/>
    </row>
    <row r="99" spans="1:14">
      <c r="A99" s="320" t="s">
        <v>166</v>
      </c>
      <c r="B99" s="324">
        <v>20</v>
      </c>
      <c r="C99" s="547"/>
      <c r="D99" s="357"/>
      <c r="E99" s="357"/>
      <c r="F99" s="357"/>
      <c r="G99" s="357"/>
      <c r="H99" s="357"/>
      <c r="I99" s="357"/>
      <c r="J99" s="357"/>
      <c r="K99" s="357"/>
      <c r="L99" s="357"/>
      <c r="M99" s="357"/>
      <c r="N99" s="357"/>
    </row>
    <row r="100" spans="1:14">
      <c r="A100" s="320" t="s">
        <v>167</v>
      </c>
      <c r="B100" s="324">
        <v>5</v>
      </c>
      <c r="C100" s="547"/>
      <c r="D100" s="357"/>
      <c r="E100" s="357"/>
      <c r="F100" s="357"/>
      <c r="G100" s="357"/>
      <c r="H100" s="357"/>
      <c r="I100" s="357"/>
      <c r="J100" s="357"/>
      <c r="K100" s="357"/>
      <c r="L100" s="357"/>
      <c r="M100" s="357"/>
      <c r="N100" s="357"/>
    </row>
    <row r="101" spans="1:14">
      <c r="A101" s="320" t="s">
        <v>168</v>
      </c>
      <c r="B101" s="324">
        <v>30</v>
      </c>
      <c r="C101" s="547"/>
      <c r="D101" s="357"/>
      <c r="E101" s="357"/>
      <c r="F101" s="357"/>
      <c r="G101" s="357"/>
      <c r="H101" s="357"/>
      <c r="I101" s="357"/>
      <c r="J101" s="357"/>
      <c r="K101" s="357"/>
      <c r="L101" s="357"/>
      <c r="M101" s="357"/>
      <c r="N101" s="357"/>
    </row>
    <row r="102" spans="1:14">
      <c r="A102" s="320" t="s">
        <v>169</v>
      </c>
      <c r="B102" s="324">
        <v>5</v>
      </c>
      <c r="C102" s="547"/>
      <c r="D102" s="357"/>
      <c r="E102" s="357"/>
      <c r="F102" s="357"/>
      <c r="G102" s="357"/>
      <c r="H102" s="357"/>
      <c r="I102" s="357"/>
      <c r="J102" s="357"/>
      <c r="K102" s="357"/>
      <c r="L102" s="357"/>
      <c r="M102" s="357"/>
      <c r="N102" s="357"/>
    </row>
    <row r="103" spans="1:14">
      <c r="A103" s="320" t="s">
        <v>170</v>
      </c>
      <c r="B103" s="324">
        <v>20</v>
      </c>
      <c r="C103" s="547"/>
      <c r="D103" s="357"/>
      <c r="E103" s="357"/>
      <c r="F103" s="357"/>
      <c r="G103" s="357"/>
      <c r="H103" s="357"/>
      <c r="I103" s="357"/>
      <c r="J103" s="357"/>
      <c r="K103" s="357"/>
      <c r="L103" s="357"/>
      <c r="M103" s="357"/>
      <c r="N103" s="357"/>
    </row>
    <row r="104" spans="1:14">
      <c r="A104" s="1056" t="s">
        <v>273</v>
      </c>
      <c r="B104" s="1057"/>
      <c r="C104" s="547"/>
      <c r="D104" s="357"/>
      <c r="E104" s="357"/>
      <c r="F104" s="357"/>
      <c r="G104" s="357"/>
      <c r="H104" s="357"/>
      <c r="I104" s="357"/>
      <c r="J104" s="357"/>
      <c r="K104" s="357"/>
      <c r="L104" s="357"/>
      <c r="M104" s="357"/>
      <c r="N104" s="357"/>
    </row>
    <row r="105" spans="1:14">
      <c r="A105" s="320" t="s">
        <v>171</v>
      </c>
      <c r="B105" s="324">
        <v>50</v>
      </c>
      <c r="C105" s="547"/>
      <c r="D105" s="357"/>
      <c r="E105" s="357"/>
      <c r="F105" s="357"/>
      <c r="G105" s="357"/>
      <c r="H105" s="357"/>
      <c r="I105" s="357"/>
      <c r="J105" s="357"/>
      <c r="K105" s="357"/>
      <c r="L105" s="357"/>
      <c r="M105" s="357"/>
      <c r="N105" s="357"/>
    </row>
    <row r="106" spans="1:14">
      <c r="A106" s="320" t="s">
        <v>172</v>
      </c>
      <c r="B106" s="324">
        <v>50</v>
      </c>
      <c r="C106" s="547"/>
      <c r="D106" s="357"/>
      <c r="E106" s="357"/>
      <c r="F106" s="357"/>
      <c r="G106" s="357"/>
      <c r="H106" s="357"/>
      <c r="I106" s="357"/>
      <c r="J106" s="357"/>
      <c r="K106" s="357"/>
      <c r="L106" s="357"/>
      <c r="M106" s="357"/>
      <c r="N106" s="357"/>
    </row>
    <row r="107" spans="1:14">
      <c r="A107" s="320" t="s">
        <v>173</v>
      </c>
      <c r="B107" s="324">
        <v>30</v>
      </c>
      <c r="C107" s="547"/>
      <c r="D107" s="357"/>
      <c r="E107" s="357"/>
      <c r="F107" s="357"/>
      <c r="G107" s="357"/>
      <c r="H107" s="357"/>
      <c r="I107" s="357"/>
      <c r="J107" s="357"/>
      <c r="K107" s="357"/>
      <c r="L107" s="357"/>
      <c r="M107" s="357"/>
      <c r="N107" s="357"/>
    </row>
    <row r="108" spans="1:14" ht="16.5" thickBot="1">
      <c r="A108" s="371" t="s">
        <v>174</v>
      </c>
      <c r="B108" s="546">
        <v>30</v>
      </c>
      <c r="C108" s="548"/>
      <c r="D108" s="357"/>
      <c r="E108" s="357"/>
      <c r="F108" s="357"/>
      <c r="G108" s="357"/>
      <c r="H108" s="357"/>
      <c r="I108" s="357"/>
      <c r="J108" s="357"/>
      <c r="K108" s="357"/>
      <c r="L108" s="357"/>
      <c r="M108" s="357"/>
      <c r="N108" s="357"/>
    </row>
    <row r="109" spans="1:14">
      <c r="B109" s="357"/>
      <c r="C109" s="357"/>
      <c r="D109" s="357"/>
      <c r="E109" s="357"/>
      <c r="F109" s="357"/>
      <c r="G109" s="357"/>
      <c r="H109" s="357"/>
      <c r="I109" s="357"/>
      <c r="J109" s="357"/>
      <c r="K109" s="357"/>
      <c r="L109" s="357"/>
      <c r="M109" s="357"/>
      <c r="N109" s="357"/>
    </row>
    <row r="111" spans="1:14" ht="16.5" thickBot="1"/>
    <row r="112" spans="1:14" ht="16.5" thickBot="1">
      <c r="A112" s="1059" t="s">
        <v>248</v>
      </c>
      <c r="B112" s="1043" t="s">
        <v>119</v>
      </c>
      <c r="C112" s="1021" t="s">
        <v>255</v>
      </c>
      <c r="D112" s="1022"/>
      <c r="E112" s="1022"/>
      <c r="F112" s="1022"/>
      <c r="G112" s="1022"/>
      <c r="H112" s="1022"/>
      <c r="I112" s="1022"/>
      <c r="J112" s="1022"/>
      <c r="K112" s="1022"/>
      <c r="L112" s="1022"/>
      <c r="M112" s="1022"/>
      <c r="N112" s="1023"/>
    </row>
    <row r="113" spans="1:14" ht="16.5" thickBot="1">
      <c r="A113" s="1060"/>
      <c r="B113" s="1044"/>
      <c r="C113" s="372">
        <v>44652</v>
      </c>
      <c r="D113" s="373">
        <v>44682</v>
      </c>
      <c r="E113" s="372">
        <v>44713</v>
      </c>
      <c r="F113" s="373">
        <v>44743</v>
      </c>
      <c r="G113" s="372">
        <v>44774</v>
      </c>
      <c r="H113" s="373">
        <v>44805</v>
      </c>
      <c r="I113" s="372">
        <v>44835</v>
      </c>
      <c r="J113" s="373">
        <v>44866</v>
      </c>
      <c r="K113" s="372">
        <v>44896</v>
      </c>
      <c r="L113" s="373">
        <v>44927</v>
      </c>
      <c r="M113" s="372">
        <v>44958</v>
      </c>
      <c r="N113" s="373">
        <v>44986</v>
      </c>
    </row>
    <row r="114" spans="1:14">
      <c r="A114" s="1045" t="s">
        <v>127</v>
      </c>
      <c r="B114" s="374" t="s">
        <v>128</v>
      </c>
      <c r="C114" s="374"/>
      <c r="D114" s="374"/>
      <c r="E114" s="374"/>
      <c r="F114" s="375">
        <v>0.2</v>
      </c>
      <c r="G114" s="375">
        <v>0.3</v>
      </c>
      <c r="H114" s="375">
        <v>0.5</v>
      </c>
      <c r="I114" s="374"/>
      <c r="J114" s="374"/>
      <c r="K114" s="374"/>
      <c r="L114" s="374"/>
      <c r="M114" s="374"/>
      <c r="N114" s="376"/>
    </row>
    <row r="115" spans="1:14">
      <c r="A115" s="1046"/>
      <c r="B115" s="377" t="s">
        <v>129</v>
      </c>
      <c r="C115" s="377"/>
      <c r="D115" s="377"/>
      <c r="E115" s="377"/>
      <c r="F115" s="377"/>
      <c r="G115" s="377"/>
      <c r="H115" s="378">
        <v>0.3</v>
      </c>
      <c r="I115" s="378">
        <v>0.2</v>
      </c>
      <c r="J115" s="378">
        <v>0.5</v>
      </c>
      <c r="K115" s="377"/>
      <c r="L115" s="377"/>
      <c r="M115" s="377"/>
      <c r="N115" s="379"/>
    </row>
    <row r="116" spans="1:14">
      <c r="A116" s="1046"/>
      <c r="B116" s="377" t="s">
        <v>130</v>
      </c>
      <c r="C116" s="377"/>
      <c r="D116" s="377"/>
      <c r="E116" s="377"/>
      <c r="F116" s="377"/>
      <c r="G116" s="378">
        <v>0.5</v>
      </c>
      <c r="H116" s="378">
        <v>0.3</v>
      </c>
      <c r="I116" s="378">
        <v>0.2</v>
      </c>
      <c r="J116" s="377"/>
      <c r="K116" s="377"/>
      <c r="L116" s="377"/>
      <c r="M116" s="377"/>
      <c r="N116" s="379"/>
    </row>
    <row r="117" spans="1:14">
      <c r="A117" s="1046"/>
      <c r="B117" s="244">
        <v>1010</v>
      </c>
      <c r="C117" s="377"/>
      <c r="D117" s="377"/>
      <c r="E117" s="377"/>
      <c r="F117" s="377"/>
      <c r="G117" s="377"/>
      <c r="H117" s="377"/>
      <c r="I117" s="377"/>
      <c r="J117" s="377"/>
      <c r="K117" s="377"/>
      <c r="L117" s="378">
        <v>0.7</v>
      </c>
      <c r="M117" s="378">
        <v>0.1</v>
      </c>
      <c r="N117" s="380">
        <v>0.2</v>
      </c>
    </row>
    <row r="118" spans="1:14">
      <c r="A118" s="1046"/>
      <c r="B118" s="377" t="s">
        <v>131</v>
      </c>
      <c r="C118" s="377"/>
      <c r="D118" s="377"/>
      <c r="E118" s="377"/>
      <c r="F118" s="377"/>
      <c r="G118" s="377"/>
      <c r="H118" s="377"/>
      <c r="I118" s="378">
        <v>0.7</v>
      </c>
      <c r="J118" s="378">
        <v>0.1</v>
      </c>
      <c r="K118" s="380">
        <v>0.2</v>
      </c>
      <c r="L118" s="377"/>
      <c r="M118" s="377"/>
      <c r="N118" s="379"/>
    </row>
    <row r="119" spans="1:14">
      <c r="A119" s="1046"/>
      <c r="B119" s="377" t="s">
        <v>132</v>
      </c>
      <c r="C119" s="381">
        <v>0.2</v>
      </c>
      <c r="D119" s="381">
        <v>0.3</v>
      </c>
      <c r="E119" s="381">
        <v>0.5</v>
      </c>
      <c r="F119" s="377"/>
      <c r="G119" s="377"/>
      <c r="H119" s="377"/>
      <c r="I119" s="377"/>
      <c r="J119" s="377"/>
      <c r="K119" s="377"/>
      <c r="L119" s="377"/>
      <c r="M119" s="377"/>
      <c r="N119" s="379"/>
    </row>
    <row r="120" spans="1:14">
      <c r="A120" s="1046"/>
      <c r="B120" s="377" t="s">
        <v>133</v>
      </c>
      <c r="C120" s="377"/>
      <c r="D120" s="377"/>
      <c r="E120" s="377"/>
      <c r="F120" s="378">
        <v>0.3</v>
      </c>
      <c r="G120" s="378">
        <v>0.2</v>
      </c>
      <c r="H120" s="378">
        <v>0.5</v>
      </c>
      <c r="I120" s="377"/>
      <c r="J120" s="377"/>
      <c r="K120" s="377"/>
      <c r="L120" s="377"/>
      <c r="M120" s="377"/>
      <c r="N120" s="379"/>
    </row>
    <row r="121" spans="1:14">
      <c r="A121" s="1046"/>
      <c r="B121" s="377" t="s">
        <v>134</v>
      </c>
      <c r="C121" s="377"/>
      <c r="D121" s="377"/>
      <c r="E121" s="377"/>
      <c r="F121" s="377"/>
      <c r="G121" s="377"/>
      <c r="H121" s="377"/>
      <c r="I121" s="378">
        <v>0.3</v>
      </c>
      <c r="J121" s="378">
        <v>0.2</v>
      </c>
      <c r="K121" s="378">
        <v>0.5</v>
      </c>
      <c r="L121" s="377"/>
      <c r="M121" s="377"/>
      <c r="N121" s="379"/>
    </row>
    <row r="122" spans="1:14">
      <c r="A122" s="1046"/>
      <c r="B122" s="377" t="s">
        <v>135</v>
      </c>
      <c r="C122" s="377"/>
      <c r="D122" s="377"/>
      <c r="E122" s="377"/>
      <c r="F122" s="378">
        <v>0.5</v>
      </c>
      <c r="G122" s="378">
        <v>0.3</v>
      </c>
      <c r="H122" s="378">
        <v>0.2</v>
      </c>
      <c r="I122" s="377"/>
      <c r="J122" s="377"/>
      <c r="K122" s="377"/>
      <c r="L122" s="377"/>
      <c r="M122" s="377"/>
      <c r="N122" s="379"/>
    </row>
    <row r="123" spans="1:14">
      <c r="A123" s="1046"/>
      <c r="B123" s="377" t="s">
        <v>139</v>
      </c>
      <c r="C123" s="381">
        <v>0.1</v>
      </c>
      <c r="D123" s="381">
        <v>0.1</v>
      </c>
      <c r="E123" s="381">
        <v>0.1</v>
      </c>
      <c r="F123" s="381">
        <v>0.1</v>
      </c>
      <c r="G123" s="381">
        <v>0.1</v>
      </c>
      <c r="H123" s="381">
        <v>0.1</v>
      </c>
      <c r="I123" s="381">
        <v>0.1</v>
      </c>
      <c r="J123" s="381">
        <v>0.1</v>
      </c>
      <c r="K123" s="382">
        <v>0.05</v>
      </c>
      <c r="L123" s="381">
        <v>0.05</v>
      </c>
      <c r="M123" s="381">
        <v>0.05</v>
      </c>
      <c r="N123" s="382">
        <v>0.05</v>
      </c>
    </row>
    <row r="124" spans="1:14">
      <c r="A124" s="1046"/>
      <c r="B124" s="377" t="s">
        <v>140</v>
      </c>
      <c r="C124" s="378">
        <v>0.1</v>
      </c>
      <c r="D124" s="378">
        <v>0.1</v>
      </c>
      <c r="E124" s="378">
        <v>0.1</v>
      </c>
      <c r="F124" s="378">
        <v>0.1</v>
      </c>
      <c r="G124" s="378">
        <v>0.1</v>
      </c>
      <c r="H124" s="378">
        <v>0.1</v>
      </c>
      <c r="I124" s="378">
        <v>0.1</v>
      </c>
      <c r="J124" s="378">
        <v>0.1</v>
      </c>
      <c r="K124" s="378">
        <v>0.05</v>
      </c>
      <c r="L124" s="378">
        <v>0.05</v>
      </c>
      <c r="M124" s="378">
        <v>0.05</v>
      </c>
      <c r="N124" s="380">
        <v>0.05</v>
      </c>
    </row>
    <row r="125" spans="1:14">
      <c r="A125" s="1046"/>
      <c r="B125" s="377" t="s">
        <v>141</v>
      </c>
      <c r="C125" s="378">
        <v>0.1</v>
      </c>
      <c r="D125" s="378">
        <v>0.1</v>
      </c>
      <c r="E125" s="378">
        <v>0.1</v>
      </c>
      <c r="F125" s="378">
        <v>0.1</v>
      </c>
      <c r="G125" s="378">
        <v>0.1</v>
      </c>
      <c r="H125" s="378">
        <v>0.1</v>
      </c>
      <c r="I125" s="378">
        <v>0.1</v>
      </c>
      <c r="J125" s="378">
        <v>0.1</v>
      </c>
      <c r="K125" s="378">
        <v>0.05</v>
      </c>
      <c r="L125" s="378">
        <v>0.05</v>
      </c>
      <c r="M125" s="378">
        <v>0.05</v>
      </c>
      <c r="N125" s="380">
        <v>0.05</v>
      </c>
    </row>
    <row r="126" spans="1:14">
      <c r="A126" s="1046"/>
      <c r="B126" s="377" t="s">
        <v>142</v>
      </c>
      <c r="C126" s="378">
        <v>0.1</v>
      </c>
      <c r="D126" s="378">
        <v>0.1</v>
      </c>
      <c r="E126" s="378">
        <v>0.1</v>
      </c>
      <c r="F126" s="378">
        <v>0.1</v>
      </c>
      <c r="G126" s="378">
        <v>0.1</v>
      </c>
      <c r="H126" s="378">
        <v>0.1</v>
      </c>
      <c r="I126" s="378">
        <v>0.1</v>
      </c>
      <c r="J126" s="378">
        <v>0.1</v>
      </c>
      <c r="K126" s="378">
        <v>0.05</v>
      </c>
      <c r="L126" s="378">
        <v>0.05</v>
      </c>
      <c r="M126" s="378">
        <v>0.05</v>
      </c>
      <c r="N126" s="380">
        <v>0.05</v>
      </c>
    </row>
    <row r="127" spans="1:14">
      <c r="A127" s="1046"/>
      <c r="B127" s="377" t="s">
        <v>131</v>
      </c>
      <c r="C127" s="378">
        <v>0.1</v>
      </c>
      <c r="D127" s="378">
        <v>0.1</v>
      </c>
      <c r="E127" s="378">
        <v>0.1</v>
      </c>
      <c r="F127" s="378">
        <v>0.1</v>
      </c>
      <c r="G127" s="378">
        <v>0.1</v>
      </c>
      <c r="H127" s="378">
        <v>0.1</v>
      </c>
      <c r="I127" s="378">
        <v>0.1</v>
      </c>
      <c r="J127" s="378">
        <v>0.1</v>
      </c>
      <c r="K127" s="378">
        <v>0.05</v>
      </c>
      <c r="L127" s="378">
        <v>0.05</v>
      </c>
      <c r="M127" s="378">
        <v>0.05</v>
      </c>
      <c r="N127" s="380">
        <v>0.05</v>
      </c>
    </row>
    <row r="128" spans="1:14">
      <c r="A128" s="1046"/>
      <c r="B128" s="377" t="s">
        <v>136</v>
      </c>
      <c r="C128" s="378"/>
      <c r="D128" s="378"/>
      <c r="E128" s="378"/>
      <c r="F128" s="378">
        <v>0.7</v>
      </c>
      <c r="G128" s="378">
        <v>0.1</v>
      </c>
      <c r="H128" s="378">
        <v>0.2</v>
      </c>
      <c r="I128" s="378"/>
      <c r="J128" s="378"/>
      <c r="K128" s="378"/>
      <c r="L128" s="378"/>
      <c r="M128" s="378"/>
      <c r="N128" s="380"/>
    </row>
    <row r="129" spans="1:14">
      <c r="A129" s="1046"/>
      <c r="B129" s="377" t="s">
        <v>137</v>
      </c>
      <c r="C129" s="378"/>
      <c r="D129" s="378"/>
      <c r="E129" s="378"/>
      <c r="F129" s="378"/>
      <c r="G129" s="378"/>
      <c r="H129" s="378">
        <v>0.5</v>
      </c>
      <c r="I129" s="378">
        <v>0.2</v>
      </c>
      <c r="J129" s="378">
        <v>0.3</v>
      </c>
      <c r="K129" s="378"/>
      <c r="L129" s="378"/>
      <c r="M129" s="378"/>
      <c r="N129" s="380"/>
    </row>
    <row r="130" spans="1:14" ht="16.5" thickBot="1">
      <c r="A130" s="1047"/>
      <c r="B130" s="383" t="s">
        <v>138</v>
      </c>
      <c r="C130" s="384"/>
      <c r="D130" s="384"/>
      <c r="E130" s="384">
        <v>0.3</v>
      </c>
      <c r="F130" s="384">
        <v>0.4</v>
      </c>
      <c r="G130" s="384">
        <v>0.3</v>
      </c>
      <c r="H130" s="384"/>
      <c r="I130" s="384"/>
      <c r="J130" s="384"/>
      <c r="K130" s="384"/>
      <c r="L130" s="384"/>
      <c r="M130" s="384"/>
      <c r="N130" s="385"/>
    </row>
    <row r="131" spans="1:14">
      <c r="A131" s="1045" t="s">
        <v>143</v>
      </c>
      <c r="B131" s="283" t="s">
        <v>144</v>
      </c>
      <c r="C131" s="386">
        <v>0.1</v>
      </c>
      <c r="D131" s="386">
        <v>0.1</v>
      </c>
      <c r="E131" s="386">
        <v>0.1</v>
      </c>
      <c r="F131" s="386">
        <v>0.1</v>
      </c>
      <c r="G131" s="386">
        <v>0.1</v>
      </c>
      <c r="H131" s="386">
        <v>0.1</v>
      </c>
      <c r="I131" s="386">
        <v>0.1</v>
      </c>
      <c r="J131" s="386">
        <v>0.1</v>
      </c>
      <c r="K131" s="386">
        <v>0.05</v>
      </c>
      <c r="L131" s="386">
        <v>0.05</v>
      </c>
      <c r="M131" s="386">
        <v>0.05</v>
      </c>
      <c r="N131" s="386">
        <v>0.05</v>
      </c>
    </row>
    <row r="132" spans="1:14">
      <c r="A132" s="1046"/>
      <c r="B132" s="271" t="s">
        <v>145</v>
      </c>
      <c r="C132" s="381">
        <v>0.1</v>
      </c>
      <c r="D132" s="381">
        <v>0.1</v>
      </c>
      <c r="E132" s="381">
        <v>0.1</v>
      </c>
      <c r="F132" s="381">
        <v>0.1</v>
      </c>
      <c r="G132" s="381">
        <v>0.1</v>
      </c>
      <c r="H132" s="381">
        <v>0.1</v>
      </c>
      <c r="I132" s="381">
        <v>0.1</v>
      </c>
      <c r="J132" s="381">
        <v>0.1</v>
      </c>
      <c r="K132" s="381">
        <v>0.05</v>
      </c>
      <c r="L132" s="381">
        <v>0.05</v>
      </c>
      <c r="M132" s="381">
        <v>0.05</v>
      </c>
      <c r="N132" s="381">
        <v>0.05</v>
      </c>
    </row>
    <row r="133" spans="1:14">
      <c r="A133" s="1046"/>
      <c r="B133" s="271" t="s">
        <v>146</v>
      </c>
      <c r="C133" s="381">
        <v>0.1</v>
      </c>
      <c r="D133" s="381">
        <v>0.1</v>
      </c>
      <c r="E133" s="381">
        <v>0.1</v>
      </c>
      <c r="F133" s="381">
        <v>0.1</v>
      </c>
      <c r="G133" s="381">
        <v>0.1</v>
      </c>
      <c r="H133" s="381">
        <v>0.1</v>
      </c>
      <c r="I133" s="381">
        <v>0.1</v>
      </c>
      <c r="J133" s="381">
        <v>0.1</v>
      </c>
      <c r="K133" s="381">
        <v>0.05</v>
      </c>
      <c r="L133" s="381">
        <v>0.05</v>
      </c>
      <c r="M133" s="381">
        <v>0.05</v>
      </c>
      <c r="N133" s="381">
        <v>0.05</v>
      </c>
    </row>
    <row r="134" spans="1:14">
      <c r="A134" s="1046"/>
      <c r="B134" s="272" t="s">
        <v>147</v>
      </c>
      <c r="C134" s="381">
        <v>0.1</v>
      </c>
      <c r="D134" s="381">
        <v>0.1</v>
      </c>
      <c r="E134" s="381">
        <v>0.1</v>
      </c>
      <c r="F134" s="381">
        <v>0.1</v>
      </c>
      <c r="G134" s="381">
        <v>0.1</v>
      </c>
      <c r="H134" s="381">
        <v>0.1</v>
      </c>
      <c r="I134" s="381">
        <v>0.1</v>
      </c>
      <c r="J134" s="381">
        <v>0.1</v>
      </c>
      <c r="K134" s="381">
        <v>0.05</v>
      </c>
      <c r="L134" s="381">
        <v>0.05</v>
      </c>
      <c r="M134" s="381">
        <v>0.05</v>
      </c>
      <c r="N134" s="381">
        <v>0.05</v>
      </c>
    </row>
    <row r="135" spans="1:14">
      <c r="A135" s="1046"/>
      <c r="B135" s="271" t="s">
        <v>148</v>
      </c>
      <c r="C135" s="381">
        <v>0.1</v>
      </c>
      <c r="D135" s="381">
        <v>0.1</v>
      </c>
      <c r="E135" s="381">
        <v>0.1</v>
      </c>
      <c r="F135" s="381">
        <v>0.1</v>
      </c>
      <c r="G135" s="381">
        <v>0.1</v>
      </c>
      <c r="H135" s="381">
        <v>0.1</v>
      </c>
      <c r="I135" s="381">
        <v>0.1</v>
      </c>
      <c r="J135" s="381">
        <v>0.1</v>
      </c>
      <c r="K135" s="381">
        <v>0.05</v>
      </c>
      <c r="L135" s="381">
        <v>0.05</v>
      </c>
      <c r="M135" s="381">
        <v>0.05</v>
      </c>
      <c r="N135" s="381">
        <v>0.05</v>
      </c>
    </row>
    <row r="136" spans="1:14">
      <c r="A136" s="1046"/>
      <c r="B136" s="271" t="s">
        <v>149</v>
      </c>
      <c r="C136" s="381">
        <v>0.1</v>
      </c>
      <c r="D136" s="381">
        <v>0.1</v>
      </c>
      <c r="E136" s="381">
        <v>0.1</v>
      </c>
      <c r="F136" s="381">
        <v>0.1</v>
      </c>
      <c r="G136" s="381">
        <v>0.1</v>
      </c>
      <c r="H136" s="381">
        <v>0.1</v>
      </c>
      <c r="I136" s="381">
        <v>0.1</v>
      </c>
      <c r="J136" s="381">
        <v>0.1</v>
      </c>
      <c r="K136" s="381">
        <v>0.05</v>
      </c>
      <c r="L136" s="381">
        <v>0.05</v>
      </c>
      <c r="M136" s="381">
        <v>0.05</v>
      </c>
      <c r="N136" s="381">
        <v>0.05</v>
      </c>
    </row>
    <row r="137" spans="1:14">
      <c r="A137" s="1046"/>
      <c r="B137" s="271" t="s">
        <v>150</v>
      </c>
      <c r="C137" s="381">
        <v>0.1</v>
      </c>
      <c r="D137" s="381">
        <v>0.1</v>
      </c>
      <c r="E137" s="381">
        <v>0.1</v>
      </c>
      <c r="F137" s="381">
        <v>0.1</v>
      </c>
      <c r="G137" s="381">
        <v>0.1</v>
      </c>
      <c r="H137" s="381">
        <v>0.1</v>
      </c>
      <c r="I137" s="381">
        <v>0.1</v>
      </c>
      <c r="J137" s="381">
        <v>0.1</v>
      </c>
      <c r="K137" s="381">
        <v>0.05</v>
      </c>
      <c r="L137" s="381">
        <v>0.05</v>
      </c>
      <c r="M137" s="381">
        <v>0.05</v>
      </c>
      <c r="N137" s="381">
        <v>0.05</v>
      </c>
    </row>
    <row r="138" spans="1:14">
      <c r="A138" s="1046"/>
      <c r="B138" s="271" t="s">
        <v>151</v>
      </c>
      <c r="C138" s="381">
        <v>0.1</v>
      </c>
      <c r="D138" s="381">
        <v>0.1</v>
      </c>
      <c r="E138" s="381">
        <v>0.1</v>
      </c>
      <c r="F138" s="381">
        <v>0.1</v>
      </c>
      <c r="G138" s="381">
        <v>0.1</v>
      </c>
      <c r="H138" s="381">
        <v>0.1</v>
      </c>
      <c r="I138" s="381">
        <v>0.1</v>
      </c>
      <c r="J138" s="381">
        <v>0.1</v>
      </c>
      <c r="K138" s="381">
        <v>0.05</v>
      </c>
      <c r="L138" s="381">
        <v>0.05</v>
      </c>
      <c r="M138" s="381">
        <v>0.05</v>
      </c>
      <c r="N138" s="381">
        <v>0.05</v>
      </c>
    </row>
    <row r="139" spans="1:14">
      <c r="A139" s="1046"/>
      <c r="B139" s="271" t="s">
        <v>152</v>
      </c>
      <c r="C139" s="381">
        <v>0.1</v>
      </c>
      <c r="D139" s="381">
        <v>0.1</v>
      </c>
      <c r="E139" s="381">
        <v>0.1</v>
      </c>
      <c r="F139" s="381">
        <v>0.1</v>
      </c>
      <c r="G139" s="381">
        <v>0.1</v>
      </c>
      <c r="H139" s="381">
        <v>0.1</v>
      </c>
      <c r="I139" s="381">
        <v>0.1</v>
      </c>
      <c r="J139" s="381">
        <v>0.1</v>
      </c>
      <c r="K139" s="381">
        <v>0.05</v>
      </c>
      <c r="L139" s="381">
        <v>0.05</v>
      </c>
      <c r="M139" s="381">
        <v>0.05</v>
      </c>
      <c r="N139" s="381">
        <v>0.05</v>
      </c>
    </row>
    <row r="140" spans="1:14">
      <c r="A140" s="1046"/>
      <c r="B140" s="271" t="s">
        <v>153</v>
      </c>
      <c r="C140" s="381">
        <v>0.1</v>
      </c>
      <c r="D140" s="381">
        <v>0.1</v>
      </c>
      <c r="E140" s="381">
        <v>0.1</v>
      </c>
      <c r="F140" s="381">
        <v>0.1</v>
      </c>
      <c r="G140" s="381">
        <v>0.1</v>
      </c>
      <c r="H140" s="381">
        <v>0.1</v>
      </c>
      <c r="I140" s="381">
        <v>0.1</v>
      </c>
      <c r="J140" s="381">
        <v>0.1</v>
      </c>
      <c r="K140" s="381">
        <v>0.05</v>
      </c>
      <c r="L140" s="381">
        <v>0.05</v>
      </c>
      <c r="M140" s="381">
        <v>0.05</v>
      </c>
      <c r="N140" s="381">
        <v>0.05</v>
      </c>
    </row>
    <row r="141" spans="1:14">
      <c r="A141" s="1046"/>
      <c r="B141" s="271" t="s">
        <v>154</v>
      </c>
      <c r="C141" s="381">
        <v>0.1</v>
      </c>
      <c r="D141" s="381">
        <v>0.1</v>
      </c>
      <c r="E141" s="381">
        <v>0.1</v>
      </c>
      <c r="F141" s="381">
        <v>0.1</v>
      </c>
      <c r="G141" s="381">
        <v>0.1</v>
      </c>
      <c r="H141" s="381">
        <v>0.1</v>
      </c>
      <c r="I141" s="381">
        <v>0.1</v>
      </c>
      <c r="J141" s="381">
        <v>0.1</v>
      </c>
      <c r="K141" s="381">
        <v>0.05</v>
      </c>
      <c r="L141" s="381">
        <v>0.05</v>
      </c>
      <c r="M141" s="381">
        <v>0.05</v>
      </c>
      <c r="N141" s="381">
        <v>0.05</v>
      </c>
    </row>
    <row r="142" spans="1:14" ht="16.5" thickBot="1">
      <c r="A142" s="1047"/>
      <c r="B142" s="285" t="s">
        <v>155</v>
      </c>
      <c r="C142" s="384">
        <v>0.1</v>
      </c>
      <c r="D142" s="384">
        <v>0.1</v>
      </c>
      <c r="E142" s="384">
        <v>0.1</v>
      </c>
      <c r="F142" s="384">
        <v>0.1</v>
      </c>
      <c r="G142" s="384">
        <v>0.1</v>
      </c>
      <c r="H142" s="384">
        <v>0.1</v>
      </c>
      <c r="I142" s="384">
        <v>0.1</v>
      </c>
      <c r="J142" s="384">
        <v>0.1</v>
      </c>
      <c r="K142" s="384">
        <v>0.05</v>
      </c>
      <c r="L142" s="384">
        <v>0.05</v>
      </c>
      <c r="M142" s="384">
        <v>0.05</v>
      </c>
      <c r="N142" s="384">
        <v>0.05</v>
      </c>
    </row>
    <row r="143" spans="1:14">
      <c r="A143" s="1045" t="s">
        <v>156</v>
      </c>
      <c r="B143" s="283" t="s">
        <v>157</v>
      </c>
      <c r="C143" s="386">
        <v>0.1</v>
      </c>
      <c r="D143" s="386">
        <v>0.1</v>
      </c>
      <c r="E143" s="386">
        <v>0.1</v>
      </c>
      <c r="F143" s="386">
        <v>0.1</v>
      </c>
      <c r="G143" s="386">
        <v>0.1</v>
      </c>
      <c r="H143" s="386">
        <v>0.1</v>
      </c>
      <c r="I143" s="386">
        <v>0.1</v>
      </c>
      <c r="J143" s="386">
        <v>0.1</v>
      </c>
      <c r="K143" s="386">
        <v>0.05</v>
      </c>
      <c r="L143" s="386">
        <v>0.05</v>
      </c>
      <c r="M143" s="386">
        <v>0.05</v>
      </c>
      <c r="N143" s="386">
        <v>0.05</v>
      </c>
    </row>
    <row r="144" spans="1:14">
      <c r="A144" s="1046"/>
      <c r="B144" s="271" t="s">
        <v>158</v>
      </c>
      <c r="C144" s="381">
        <v>0.1</v>
      </c>
      <c r="D144" s="381">
        <v>0.1</v>
      </c>
      <c r="E144" s="381">
        <v>0.1</v>
      </c>
      <c r="F144" s="381">
        <v>0.1</v>
      </c>
      <c r="G144" s="381">
        <v>0.1</v>
      </c>
      <c r="H144" s="381">
        <v>0.1</v>
      </c>
      <c r="I144" s="381">
        <v>0.1</v>
      </c>
      <c r="J144" s="381">
        <v>0.1</v>
      </c>
      <c r="K144" s="381">
        <v>0.05</v>
      </c>
      <c r="L144" s="381">
        <v>0.05</v>
      </c>
      <c r="M144" s="381">
        <v>0.05</v>
      </c>
      <c r="N144" s="381">
        <v>0.05</v>
      </c>
    </row>
    <row r="145" spans="1:14">
      <c r="A145" s="1046"/>
      <c r="B145" s="271" t="s">
        <v>159</v>
      </c>
      <c r="C145" s="381">
        <v>0.1</v>
      </c>
      <c r="D145" s="381">
        <v>0.1</v>
      </c>
      <c r="E145" s="381">
        <v>0.1</v>
      </c>
      <c r="F145" s="381">
        <v>0.1</v>
      </c>
      <c r="G145" s="381">
        <v>0.1</v>
      </c>
      <c r="H145" s="381">
        <v>0.1</v>
      </c>
      <c r="I145" s="381">
        <v>0.1</v>
      </c>
      <c r="J145" s="381">
        <v>0.1</v>
      </c>
      <c r="K145" s="381">
        <v>0.05</v>
      </c>
      <c r="L145" s="381">
        <v>0.05</v>
      </c>
      <c r="M145" s="381">
        <v>0.05</v>
      </c>
      <c r="N145" s="381">
        <v>0.05</v>
      </c>
    </row>
    <row r="146" spans="1:14">
      <c r="A146" s="1046"/>
      <c r="B146" s="271" t="s">
        <v>160</v>
      </c>
      <c r="C146" s="381">
        <v>0.1</v>
      </c>
      <c r="D146" s="381">
        <v>0.1</v>
      </c>
      <c r="E146" s="381">
        <v>0.1</v>
      </c>
      <c r="F146" s="381">
        <v>0.1</v>
      </c>
      <c r="G146" s="381">
        <v>0.1</v>
      </c>
      <c r="H146" s="381">
        <v>0.1</v>
      </c>
      <c r="I146" s="381">
        <v>0.1</v>
      </c>
      <c r="J146" s="381">
        <v>0.1</v>
      </c>
      <c r="K146" s="381">
        <v>0.05</v>
      </c>
      <c r="L146" s="381">
        <v>0.05</v>
      </c>
      <c r="M146" s="381">
        <v>0.05</v>
      </c>
      <c r="N146" s="381">
        <v>0.05</v>
      </c>
    </row>
    <row r="147" spans="1:14">
      <c r="A147" s="1046"/>
      <c r="B147" s="271" t="s">
        <v>161</v>
      </c>
      <c r="C147" s="381">
        <v>0.1</v>
      </c>
      <c r="D147" s="381">
        <v>0.1</v>
      </c>
      <c r="E147" s="381">
        <v>0.1</v>
      </c>
      <c r="F147" s="381">
        <v>0.1</v>
      </c>
      <c r="G147" s="381">
        <v>0.1</v>
      </c>
      <c r="H147" s="381">
        <v>0.1</v>
      </c>
      <c r="I147" s="381">
        <v>0.1</v>
      </c>
      <c r="J147" s="381">
        <v>0.1</v>
      </c>
      <c r="K147" s="381">
        <v>0.05</v>
      </c>
      <c r="L147" s="381">
        <v>0.05</v>
      </c>
      <c r="M147" s="381">
        <v>0.05</v>
      </c>
      <c r="N147" s="381">
        <v>0.05</v>
      </c>
    </row>
    <row r="148" spans="1:14">
      <c r="A148" s="1046"/>
      <c r="B148" s="271" t="s">
        <v>162</v>
      </c>
      <c r="C148" s="381">
        <v>0.1</v>
      </c>
      <c r="D148" s="381">
        <v>0.1</v>
      </c>
      <c r="E148" s="381">
        <v>0.1</v>
      </c>
      <c r="F148" s="381">
        <v>0.1</v>
      </c>
      <c r="G148" s="381">
        <v>0.1</v>
      </c>
      <c r="H148" s="381">
        <v>0.1</v>
      </c>
      <c r="I148" s="381">
        <v>0.1</v>
      </c>
      <c r="J148" s="381">
        <v>0.1</v>
      </c>
      <c r="K148" s="381">
        <v>0.05</v>
      </c>
      <c r="L148" s="381">
        <v>0.05</v>
      </c>
      <c r="M148" s="381">
        <v>0.05</v>
      </c>
      <c r="N148" s="381">
        <v>0.05</v>
      </c>
    </row>
    <row r="149" spans="1:14">
      <c r="A149" s="1046"/>
      <c r="B149" s="271" t="s">
        <v>163</v>
      </c>
      <c r="C149" s="381">
        <v>0.1</v>
      </c>
      <c r="D149" s="381">
        <v>0.1</v>
      </c>
      <c r="E149" s="381">
        <v>0.1</v>
      </c>
      <c r="F149" s="381">
        <v>0.1</v>
      </c>
      <c r="G149" s="381">
        <v>0.1</v>
      </c>
      <c r="H149" s="381">
        <v>0.1</v>
      </c>
      <c r="I149" s="381">
        <v>0.1</v>
      </c>
      <c r="J149" s="381">
        <v>0.1</v>
      </c>
      <c r="K149" s="381">
        <v>0.05</v>
      </c>
      <c r="L149" s="381">
        <v>0.05</v>
      </c>
      <c r="M149" s="381">
        <v>0.05</v>
      </c>
      <c r="N149" s="381">
        <v>0.05</v>
      </c>
    </row>
    <row r="150" spans="1:14" ht="16.5" thickBot="1">
      <c r="A150" s="1047"/>
      <c r="B150" s="286" t="s">
        <v>164</v>
      </c>
      <c r="C150" s="384">
        <v>0.1</v>
      </c>
      <c r="D150" s="384">
        <v>0.1</v>
      </c>
      <c r="E150" s="384">
        <v>0.1</v>
      </c>
      <c r="F150" s="384">
        <v>0.1</v>
      </c>
      <c r="G150" s="384">
        <v>0.1</v>
      </c>
      <c r="H150" s="384">
        <v>0.1</v>
      </c>
      <c r="I150" s="384">
        <v>0.1</v>
      </c>
      <c r="J150" s="384">
        <v>0.1</v>
      </c>
      <c r="K150" s="384">
        <v>0.05</v>
      </c>
      <c r="L150" s="384">
        <v>0.05</v>
      </c>
      <c r="M150" s="384">
        <v>0.05</v>
      </c>
      <c r="N150" s="384">
        <v>0.05</v>
      </c>
    </row>
    <row r="151" spans="1:14">
      <c r="A151" s="1045" t="s">
        <v>165</v>
      </c>
      <c r="B151" s="283" t="s">
        <v>166</v>
      </c>
      <c r="C151" s="386">
        <v>0.1</v>
      </c>
      <c r="D151" s="386">
        <v>0.1</v>
      </c>
      <c r="E151" s="386">
        <v>0.1</v>
      </c>
      <c r="F151" s="386">
        <v>0.1</v>
      </c>
      <c r="G151" s="386">
        <v>0.1</v>
      </c>
      <c r="H151" s="386">
        <v>0.1</v>
      </c>
      <c r="I151" s="386">
        <v>0.1</v>
      </c>
      <c r="J151" s="386">
        <v>0.1</v>
      </c>
      <c r="K151" s="386">
        <v>0.05</v>
      </c>
      <c r="L151" s="386">
        <v>0.05</v>
      </c>
      <c r="M151" s="386">
        <v>0.05</v>
      </c>
      <c r="N151" s="386">
        <v>0.05</v>
      </c>
    </row>
    <row r="152" spans="1:14">
      <c r="A152" s="1046"/>
      <c r="B152" s="271" t="s">
        <v>167</v>
      </c>
      <c r="C152" s="381">
        <v>0.1</v>
      </c>
      <c r="D152" s="381">
        <v>0.1</v>
      </c>
      <c r="E152" s="381">
        <v>0.1</v>
      </c>
      <c r="F152" s="381">
        <v>0.1</v>
      </c>
      <c r="G152" s="381">
        <v>0.1</v>
      </c>
      <c r="H152" s="381">
        <v>0.1</v>
      </c>
      <c r="I152" s="381">
        <v>0.1</v>
      </c>
      <c r="J152" s="381">
        <v>0.1</v>
      </c>
      <c r="K152" s="381">
        <v>0.05</v>
      </c>
      <c r="L152" s="381">
        <v>0.05</v>
      </c>
      <c r="M152" s="381">
        <v>0.05</v>
      </c>
      <c r="N152" s="381">
        <v>0.05</v>
      </c>
    </row>
    <row r="153" spans="1:14">
      <c r="A153" s="1046"/>
      <c r="B153" s="271" t="s">
        <v>168</v>
      </c>
      <c r="C153" s="381">
        <v>0.1</v>
      </c>
      <c r="D153" s="381">
        <v>0.1</v>
      </c>
      <c r="E153" s="381">
        <v>0.1</v>
      </c>
      <c r="F153" s="381">
        <v>0.1</v>
      </c>
      <c r="G153" s="381">
        <v>0.1</v>
      </c>
      <c r="H153" s="381">
        <v>0.1</v>
      </c>
      <c r="I153" s="381">
        <v>0.1</v>
      </c>
      <c r="J153" s="381">
        <v>0.1</v>
      </c>
      <c r="K153" s="381">
        <v>0.05</v>
      </c>
      <c r="L153" s="381">
        <v>0.05</v>
      </c>
      <c r="M153" s="381">
        <v>0.05</v>
      </c>
      <c r="N153" s="381">
        <v>0.05</v>
      </c>
    </row>
    <row r="154" spans="1:14">
      <c r="A154" s="1046"/>
      <c r="B154" s="271" t="s">
        <v>169</v>
      </c>
      <c r="C154" s="381">
        <v>0.1</v>
      </c>
      <c r="D154" s="381">
        <v>0.1</v>
      </c>
      <c r="E154" s="381">
        <v>0.1</v>
      </c>
      <c r="F154" s="381">
        <v>0.1</v>
      </c>
      <c r="G154" s="381">
        <v>0.1</v>
      </c>
      <c r="H154" s="381">
        <v>0.1</v>
      </c>
      <c r="I154" s="381">
        <v>0.1</v>
      </c>
      <c r="J154" s="381">
        <v>0.1</v>
      </c>
      <c r="K154" s="381">
        <v>0.05</v>
      </c>
      <c r="L154" s="381">
        <v>0.05</v>
      </c>
      <c r="M154" s="381">
        <v>0.05</v>
      </c>
      <c r="N154" s="381">
        <v>0.05</v>
      </c>
    </row>
    <row r="155" spans="1:14" ht="16.5" thickBot="1">
      <c r="A155" s="1047"/>
      <c r="B155" s="286" t="s">
        <v>170</v>
      </c>
      <c r="C155" s="384">
        <v>0.1</v>
      </c>
      <c r="D155" s="384">
        <v>0.1</v>
      </c>
      <c r="E155" s="384">
        <v>0.1</v>
      </c>
      <c r="F155" s="384">
        <v>0.1</v>
      </c>
      <c r="G155" s="384">
        <v>0.1</v>
      </c>
      <c r="H155" s="384">
        <v>0.1</v>
      </c>
      <c r="I155" s="384">
        <v>0.1</v>
      </c>
      <c r="J155" s="384">
        <v>0.1</v>
      </c>
      <c r="K155" s="384">
        <v>0.05</v>
      </c>
      <c r="L155" s="384">
        <v>0.05</v>
      </c>
      <c r="M155" s="384">
        <v>0.05</v>
      </c>
      <c r="N155" s="384">
        <v>0.05</v>
      </c>
    </row>
    <row r="156" spans="1:14">
      <c r="A156" s="1045" t="s">
        <v>249</v>
      </c>
      <c r="B156" s="283" t="s">
        <v>171</v>
      </c>
      <c r="C156" s="386">
        <v>0.1</v>
      </c>
      <c r="D156" s="386">
        <v>0.1</v>
      </c>
      <c r="E156" s="386">
        <v>0.1</v>
      </c>
      <c r="F156" s="386">
        <v>0.1</v>
      </c>
      <c r="G156" s="386">
        <v>0.1</v>
      </c>
      <c r="H156" s="386">
        <v>0.1</v>
      </c>
      <c r="I156" s="386">
        <v>0.1</v>
      </c>
      <c r="J156" s="386">
        <v>0.1</v>
      </c>
      <c r="K156" s="386">
        <v>0.05</v>
      </c>
      <c r="L156" s="386">
        <v>0.05</v>
      </c>
      <c r="M156" s="386">
        <v>0.05</v>
      </c>
      <c r="N156" s="386">
        <v>0.05</v>
      </c>
    </row>
    <row r="157" spans="1:14">
      <c r="A157" s="1046"/>
      <c r="B157" s="271" t="s">
        <v>172</v>
      </c>
      <c r="C157" s="381">
        <v>0.1</v>
      </c>
      <c r="D157" s="381">
        <v>0.1</v>
      </c>
      <c r="E157" s="381">
        <v>0.1</v>
      </c>
      <c r="F157" s="381">
        <v>0.1</v>
      </c>
      <c r="G157" s="381">
        <v>0.1</v>
      </c>
      <c r="H157" s="381">
        <v>0.1</v>
      </c>
      <c r="I157" s="381">
        <v>0.1</v>
      </c>
      <c r="J157" s="381">
        <v>0.1</v>
      </c>
      <c r="K157" s="381">
        <v>0.05</v>
      </c>
      <c r="L157" s="381">
        <v>0.05</v>
      </c>
      <c r="M157" s="381">
        <v>0.05</v>
      </c>
      <c r="N157" s="381">
        <v>0.05</v>
      </c>
    </row>
    <row r="158" spans="1:14">
      <c r="A158" s="1046"/>
      <c r="B158" s="271" t="s">
        <v>173</v>
      </c>
      <c r="C158" s="381">
        <v>0.1</v>
      </c>
      <c r="D158" s="381">
        <v>0.1</v>
      </c>
      <c r="E158" s="381">
        <v>0.1</v>
      </c>
      <c r="F158" s="381">
        <v>0.1</v>
      </c>
      <c r="G158" s="381">
        <v>0.1</v>
      </c>
      <c r="H158" s="381">
        <v>0.1</v>
      </c>
      <c r="I158" s="381">
        <v>0.1</v>
      </c>
      <c r="J158" s="381">
        <v>0.1</v>
      </c>
      <c r="K158" s="381">
        <v>0.05</v>
      </c>
      <c r="L158" s="381">
        <v>0.05</v>
      </c>
      <c r="M158" s="381">
        <v>0.05</v>
      </c>
      <c r="N158" s="381">
        <v>0.05</v>
      </c>
    </row>
    <row r="159" spans="1:14" ht="16.5" thickBot="1">
      <c r="A159" s="1047"/>
      <c r="B159" s="286" t="s">
        <v>174</v>
      </c>
      <c r="C159" s="384">
        <v>0.1</v>
      </c>
      <c r="D159" s="384">
        <v>0.1</v>
      </c>
      <c r="E159" s="384">
        <v>0.1</v>
      </c>
      <c r="F159" s="384">
        <v>0.1</v>
      </c>
      <c r="G159" s="384">
        <v>0.1</v>
      </c>
      <c r="H159" s="384">
        <v>0.1</v>
      </c>
      <c r="I159" s="384">
        <v>0.1</v>
      </c>
      <c r="J159" s="384">
        <v>0.1</v>
      </c>
      <c r="K159" s="384">
        <v>0.05</v>
      </c>
      <c r="L159" s="384">
        <v>0.05</v>
      </c>
      <c r="M159" s="384">
        <v>0.05</v>
      </c>
      <c r="N159" s="384">
        <v>0.05</v>
      </c>
    </row>
    <row r="160" spans="1:14">
      <c r="A160" s="387"/>
      <c r="B160" s="352"/>
      <c r="C160" s="388"/>
      <c r="D160" s="388"/>
      <c r="E160" s="388"/>
      <c r="F160" s="388"/>
      <c r="G160" s="388"/>
      <c r="H160" s="388"/>
      <c r="I160" s="388"/>
      <c r="J160" s="388"/>
      <c r="K160" s="388"/>
      <c r="L160" s="388"/>
      <c r="M160" s="388"/>
      <c r="N160" s="388"/>
    </row>
    <row r="161" spans="1:56">
      <c r="A161" s="387"/>
      <c r="B161" s="352"/>
      <c r="C161" s="388"/>
      <c r="D161" s="388"/>
      <c r="E161" s="388"/>
      <c r="F161" s="388"/>
      <c r="G161" s="388"/>
      <c r="H161" s="388"/>
      <c r="I161" s="388"/>
      <c r="J161" s="388"/>
      <c r="K161" s="388"/>
      <c r="L161" s="388"/>
      <c r="M161" s="388"/>
      <c r="N161" s="388"/>
    </row>
    <row r="162" spans="1:56">
      <c r="A162" s="387"/>
      <c r="B162" s="352"/>
      <c r="C162" s="388"/>
      <c r="D162" s="388"/>
      <c r="E162" s="388"/>
      <c r="F162" s="388"/>
      <c r="G162" s="388"/>
      <c r="H162" s="388"/>
      <c r="I162" s="388"/>
      <c r="J162" s="388"/>
      <c r="K162" s="388"/>
      <c r="L162" s="388"/>
      <c r="M162" s="388"/>
      <c r="N162" s="388"/>
    </row>
    <row r="163" spans="1:56" ht="16.5" thickBot="1"/>
    <row r="164" spans="1:56" ht="16.5" customHeight="1" thickBot="1">
      <c r="A164" s="1006" t="s">
        <v>270</v>
      </c>
      <c r="B164" s="1009" t="s">
        <v>119</v>
      </c>
      <c r="C164" s="1012" t="s">
        <v>277</v>
      </c>
      <c r="D164" s="1013"/>
      <c r="E164" s="1013"/>
      <c r="F164" s="1013"/>
      <c r="G164" s="1013"/>
      <c r="H164" s="1013"/>
      <c r="I164" s="1013"/>
      <c r="J164" s="1013"/>
      <c r="K164" s="1013"/>
      <c r="L164" s="1013"/>
      <c r="M164" s="1013"/>
      <c r="N164" s="1013"/>
      <c r="O164" s="999" t="s">
        <v>278</v>
      </c>
      <c r="P164" s="1000"/>
      <c r="Q164" s="1000"/>
      <c r="R164" s="1001"/>
      <c r="S164" s="1024" t="s">
        <v>336</v>
      </c>
      <c r="T164" s="993" t="s">
        <v>435</v>
      </c>
      <c r="U164" s="993" t="s">
        <v>435</v>
      </c>
      <c r="V164" s="993" t="s">
        <v>435</v>
      </c>
      <c r="W164" s="993" t="s">
        <v>435</v>
      </c>
    </row>
    <row r="165" spans="1:56" ht="16.5" thickBot="1">
      <c r="A165" s="1007"/>
      <c r="B165" s="1010"/>
      <c r="C165" s="1014" t="s">
        <v>264</v>
      </c>
      <c r="D165" s="1015"/>
      <c r="E165" s="1016"/>
      <c r="F165" s="1014" t="s">
        <v>263</v>
      </c>
      <c r="G165" s="1015"/>
      <c r="H165" s="1016"/>
      <c r="I165" s="1014" t="s">
        <v>265</v>
      </c>
      <c r="J165" s="1015"/>
      <c r="K165" s="1016"/>
      <c r="L165" s="1014" t="s">
        <v>269</v>
      </c>
      <c r="M165" s="1015"/>
      <c r="N165" s="1015"/>
      <c r="O165" s="997" t="s">
        <v>264</v>
      </c>
      <c r="P165" s="997" t="s">
        <v>263</v>
      </c>
      <c r="Q165" s="997" t="s">
        <v>265</v>
      </c>
      <c r="R165" s="997" t="s">
        <v>269</v>
      </c>
      <c r="S165" s="1025"/>
      <c r="T165" s="994"/>
      <c r="U165" s="994"/>
      <c r="V165" s="994"/>
      <c r="W165" s="994"/>
      <c r="X165" s="389"/>
      <c r="Y165" s="390"/>
      <c r="Z165" s="389"/>
      <c r="AA165" s="389"/>
      <c r="AB165" s="390"/>
      <c r="AC165" s="389"/>
      <c r="AD165" s="389"/>
      <c r="AE165" s="390"/>
      <c r="AF165" s="389"/>
      <c r="AG165" s="389"/>
      <c r="AH165" s="390"/>
      <c r="AI165" s="389"/>
      <c r="AJ165" s="389"/>
      <c r="AK165" s="390"/>
      <c r="AL165" s="389"/>
      <c r="AM165" s="352"/>
      <c r="AN165" s="352"/>
      <c r="AO165" s="352"/>
      <c r="AP165" s="352"/>
      <c r="AQ165" s="352"/>
      <c r="AR165" s="352"/>
      <c r="AS165" s="352"/>
      <c r="AT165" s="352"/>
      <c r="AU165" s="352"/>
      <c r="AV165" s="352"/>
      <c r="AW165" s="352"/>
      <c r="AX165" s="352"/>
      <c r="AY165" s="352"/>
      <c r="AZ165" s="352"/>
      <c r="BA165" s="357"/>
      <c r="BB165" s="357"/>
      <c r="BC165" s="357"/>
      <c r="BD165" s="357"/>
    </row>
    <row r="166" spans="1:56" ht="16.5" thickBot="1">
      <c r="A166" s="1008"/>
      <c r="B166" s="1011"/>
      <c r="C166" s="391" t="s">
        <v>266</v>
      </c>
      <c r="D166" s="333" t="s">
        <v>267</v>
      </c>
      <c r="E166" s="334" t="s">
        <v>268</v>
      </c>
      <c r="F166" s="391" t="s">
        <v>266</v>
      </c>
      <c r="G166" s="333" t="s">
        <v>267</v>
      </c>
      <c r="H166" s="334" t="s">
        <v>268</v>
      </c>
      <c r="I166" s="391" t="s">
        <v>266</v>
      </c>
      <c r="J166" s="333" t="s">
        <v>267</v>
      </c>
      <c r="K166" s="334" t="s">
        <v>268</v>
      </c>
      <c r="L166" s="391" t="s">
        <v>266</v>
      </c>
      <c r="M166" s="333" t="s">
        <v>267</v>
      </c>
      <c r="N166" s="392" t="s">
        <v>268</v>
      </c>
      <c r="O166" s="998"/>
      <c r="P166" s="998"/>
      <c r="Q166" s="998"/>
      <c r="R166" s="998"/>
      <c r="S166" s="1026"/>
      <c r="T166" s="995"/>
      <c r="U166" s="995"/>
      <c r="V166" s="995"/>
      <c r="W166" s="995"/>
      <c r="X166" s="389"/>
      <c r="Y166" s="390"/>
      <c r="Z166" s="389"/>
      <c r="AA166" s="389"/>
      <c r="AB166" s="390"/>
      <c r="AC166" s="389"/>
      <c r="AD166" s="389"/>
      <c r="AE166" s="390"/>
      <c r="AF166" s="389"/>
      <c r="AG166" s="389"/>
      <c r="AH166" s="390"/>
      <c r="AI166" s="389"/>
      <c r="AJ166" s="389"/>
      <c r="AK166" s="390"/>
      <c r="AL166" s="389"/>
      <c r="AM166" s="352"/>
      <c r="AN166" s="352"/>
      <c r="AO166" s="352"/>
      <c r="AP166" s="352"/>
      <c r="AQ166" s="352"/>
      <c r="AR166" s="352"/>
      <c r="AS166" s="352"/>
      <c r="AT166" s="352"/>
      <c r="AU166" s="352"/>
      <c r="AV166" s="352"/>
      <c r="AW166" s="352"/>
      <c r="AX166" s="352"/>
      <c r="AY166" s="352"/>
      <c r="AZ166" s="352"/>
      <c r="BA166" s="357"/>
      <c r="BB166" s="357"/>
      <c r="BC166" s="357"/>
      <c r="BD166" s="357"/>
    </row>
    <row r="167" spans="1:56">
      <c r="A167" s="1003" t="s">
        <v>127</v>
      </c>
      <c r="B167" s="393" t="s">
        <v>128</v>
      </c>
      <c r="C167" s="576"/>
      <c r="D167" s="577"/>
      <c r="E167" s="578"/>
      <c r="F167" s="576"/>
      <c r="G167" s="577"/>
      <c r="H167" s="578"/>
      <c r="I167" s="576"/>
      <c r="J167" s="577"/>
      <c r="K167" s="578"/>
      <c r="L167" s="576"/>
      <c r="M167" s="577"/>
      <c r="N167" s="585">
        <v>70</v>
      </c>
      <c r="O167" s="575">
        <f>IFERROR(ROUND(N167*(1+S167),0),0)</f>
        <v>74</v>
      </c>
      <c r="P167" s="455">
        <f>IFERROR(ROUND(N167*(1+S167),0),0)</f>
        <v>74</v>
      </c>
      <c r="Q167" s="455">
        <f>IFERROR(ROUND(N167*(1+S167),0),0)</f>
        <v>74</v>
      </c>
      <c r="R167" s="455">
        <f>IFERROR(ROUND(N167*(1+S167),0),0)</f>
        <v>74</v>
      </c>
      <c r="S167" s="398">
        <v>0.05</v>
      </c>
      <c r="T167" s="588">
        <v>0.1</v>
      </c>
      <c r="U167" s="375">
        <v>0.08</v>
      </c>
      <c r="V167" s="375">
        <v>0.1</v>
      </c>
      <c r="W167" s="423">
        <v>0.1</v>
      </c>
      <c r="X167" s="357"/>
      <c r="Y167" s="357"/>
      <c r="Z167" s="357"/>
      <c r="AA167" s="357"/>
      <c r="AB167" s="357"/>
      <c r="AC167" s="357"/>
      <c r="AD167" s="357"/>
      <c r="AE167" s="357"/>
      <c r="AF167" s="357"/>
      <c r="AG167" s="357"/>
      <c r="AH167" s="357"/>
      <c r="AI167" s="357"/>
      <c r="AJ167" s="357"/>
      <c r="AK167" s="357"/>
      <c r="AL167" s="357"/>
      <c r="AM167" s="357"/>
      <c r="AN167" s="357"/>
      <c r="AO167" s="357"/>
      <c r="AP167" s="357"/>
      <c r="AQ167" s="357"/>
      <c r="AR167" s="357"/>
      <c r="AS167" s="357"/>
      <c r="AT167" s="357"/>
      <c r="AU167" s="357"/>
      <c r="AV167" s="357"/>
      <c r="AW167" s="357"/>
      <c r="AX167" s="357"/>
      <c r="AY167" s="357"/>
      <c r="AZ167" s="357"/>
      <c r="BA167" s="357"/>
      <c r="BB167" s="357"/>
      <c r="BC167" s="357"/>
      <c r="BD167" s="357"/>
    </row>
    <row r="168" spans="1:56">
      <c r="A168" s="1046"/>
      <c r="B168" s="399" t="s">
        <v>129</v>
      </c>
      <c r="C168" s="579"/>
      <c r="D168" s="580"/>
      <c r="E168" s="581"/>
      <c r="F168" s="579"/>
      <c r="G168" s="580"/>
      <c r="H168" s="581"/>
      <c r="I168" s="579"/>
      <c r="J168" s="580"/>
      <c r="K168" s="581"/>
      <c r="L168" s="579"/>
      <c r="M168" s="580"/>
      <c r="N168" s="586">
        <v>75</v>
      </c>
      <c r="O168" s="575">
        <f>IFERROR(ROUND(N168*(1+S168),0),0)</f>
        <v>79</v>
      </c>
      <c r="P168" s="455">
        <f>IFERROR(ROUND(N168*(1+S168),0),0)</f>
        <v>79</v>
      </c>
      <c r="Q168" s="455">
        <f>IFERROR(ROUND(N168*(1+S168),0),0)</f>
        <v>79</v>
      </c>
      <c r="R168" s="455">
        <f>IFERROR(ROUND(N168*(1+S168),0),0)</f>
        <v>79</v>
      </c>
      <c r="S168" s="402">
        <v>0.05</v>
      </c>
      <c r="T168" s="589">
        <v>0.25</v>
      </c>
      <c r="U168" s="378">
        <v>0.1</v>
      </c>
      <c r="V168" s="378">
        <v>0.15</v>
      </c>
      <c r="W168" s="380">
        <v>0.15</v>
      </c>
      <c r="X168" s="357"/>
      <c r="Y168" s="357"/>
      <c r="Z168" s="357"/>
      <c r="AA168" s="357"/>
      <c r="AB168" s="357"/>
      <c r="AC168" s="357"/>
      <c r="AD168" s="357"/>
      <c r="AE168" s="357"/>
      <c r="AF168" s="357"/>
      <c r="AG168" s="357"/>
      <c r="AH168" s="357"/>
      <c r="AI168" s="357"/>
      <c r="AJ168" s="357"/>
      <c r="AK168" s="357"/>
      <c r="AL168" s="357"/>
      <c r="AM168" s="357"/>
      <c r="AN168" s="357"/>
      <c r="AO168" s="357"/>
      <c r="AP168" s="357"/>
      <c r="AQ168" s="357"/>
      <c r="AR168" s="357"/>
      <c r="AS168" s="357"/>
      <c r="AT168" s="357"/>
      <c r="AU168" s="357"/>
      <c r="AV168" s="357"/>
      <c r="AW168" s="357"/>
      <c r="AX168" s="357"/>
      <c r="AY168" s="357"/>
      <c r="AZ168" s="357"/>
      <c r="BA168" s="357"/>
      <c r="BB168" s="357"/>
      <c r="BC168" s="357"/>
      <c r="BD168" s="357"/>
    </row>
    <row r="169" spans="1:56">
      <c r="A169" s="1046"/>
      <c r="B169" s="399" t="s">
        <v>130</v>
      </c>
      <c r="C169" s="579"/>
      <c r="D169" s="580"/>
      <c r="E169" s="581"/>
      <c r="F169" s="579"/>
      <c r="G169" s="580"/>
      <c r="H169" s="581"/>
      <c r="I169" s="579"/>
      <c r="J169" s="580"/>
      <c r="K169" s="581"/>
      <c r="L169" s="579"/>
      <c r="M169" s="580"/>
      <c r="N169" s="586">
        <v>60</v>
      </c>
      <c r="O169" s="575">
        <f t="shared" ref="O169:O212" si="9">IFERROR(ROUND(N169*(1+S169),0),0)</f>
        <v>63</v>
      </c>
      <c r="P169" s="455">
        <f t="shared" ref="P169:P212" si="10">IFERROR(ROUND(N169*(1+S169),0),0)</f>
        <v>63</v>
      </c>
      <c r="Q169" s="455">
        <f t="shared" ref="Q169:Q212" si="11">IFERROR(ROUND(N169*(1+S169),0),0)</f>
        <v>63</v>
      </c>
      <c r="R169" s="455">
        <f t="shared" ref="R169:R212" si="12">IFERROR(ROUND(N169*(1+S169),0),0)</f>
        <v>63</v>
      </c>
      <c r="S169" s="402">
        <v>0.05</v>
      </c>
      <c r="T169" s="589">
        <v>0.2</v>
      </c>
      <c r="U169" s="378">
        <v>0.2</v>
      </c>
      <c r="V169" s="378">
        <v>0.2</v>
      </c>
      <c r="W169" s="380">
        <v>0.2</v>
      </c>
      <c r="X169" s="357"/>
      <c r="Y169" s="357"/>
      <c r="Z169" s="357"/>
      <c r="AA169" s="357"/>
      <c r="AB169" s="357"/>
      <c r="AC169" s="357"/>
      <c r="AD169" s="357"/>
      <c r="AE169" s="357"/>
      <c r="AF169" s="357"/>
      <c r="AG169" s="357"/>
      <c r="AH169" s="357"/>
      <c r="AI169" s="357"/>
      <c r="AJ169" s="357"/>
      <c r="AK169" s="357"/>
      <c r="AL169" s="357"/>
      <c r="AM169" s="357"/>
      <c r="AN169" s="357"/>
      <c r="AO169" s="357"/>
      <c r="AP169" s="357"/>
      <c r="AQ169" s="357"/>
      <c r="AR169" s="357"/>
      <c r="AS169" s="357"/>
      <c r="AT169" s="357"/>
      <c r="AU169" s="357"/>
      <c r="AV169" s="357"/>
      <c r="AW169" s="357"/>
      <c r="AX169" s="357"/>
      <c r="AY169" s="357"/>
      <c r="AZ169" s="357"/>
      <c r="BA169" s="357"/>
      <c r="BB169" s="357"/>
      <c r="BC169" s="357"/>
      <c r="BD169" s="357"/>
    </row>
    <row r="170" spans="1:56">
      <c r="A170" s="1046"/>
      <c r="B170" s="274">
        <v>1010</v>
      </c>
      <c r="C170" s="579"/>
      <c r="D170" s="580"/>
      <c r="E170" s="581"/>
      <c r="F170" s="579"/>
      <c r="G170" s="580"/>
      <c r="H170" s="581"/>
      <c r="I170" s="579"/>
      <c r="J170" s="580"/>
      <c r="K170" s="581"/>
      <c r="L170" s="579"/>
      <c r="M170" s="580"/>
      <c r="N170" s="586">
        <v>30</v>
      </c>
      <c r="O170" s="575">
        <f t="shared" si="9"/>
        <v>32</v>
      </c>
      <c r="P170" s="455">
        <f t="shared" si="10"/>
        <v>32</v>
      </c>
      <c r="Q170" s="455">
        <f t="shared" si="11"/>
        <v>32</v>
      </c>
      <c r="R170" s="455">
        <f t="shared" si="12"/>
        <v>32</v>
      </c>
      <c r="S170" s="402">
        <v>0.05</v>
      </c>
      <c r="T170" s="589">
        <v>0.25</v>
      </c>
      <c r="U170" s="378">
        <v>0.25</v>
      </c>
      <c r="V170" s="378">
        <v>0.25</v>
      </c>
      <c r="W170" s="380">
        <v>0.25</v>
      </c>
      <c r="X170" s="357"/>
      <c r="Y170" s="357"/>
      <c r="Z170" s="357"/>
      <c r="AA170" s="357"/>
      <c r="AB170" s="357"/>
      <c r="AC170" s="357"/>
      <c r="AD170" s="357"/>
      <c r="AE170" s="357"/>
      <c r="AF170" s="357"/>
      <c r="AG170" s="357"/>
      <c r="AH170" s="357"/>
      <c r="AI170" s="357"/>
      <c r="AJ170" s="357"/>
      <c r="AK170" s="357"/>
      <c r="AL170" s="357"/>
      <c r="AM170" s="357"/>
      <c r="AN170" s="357"/>
      <c r="AO170" s="357"/>
      <c r="AP170" s="357"/>
      <c r="AQ170" s="357"/>
      <c r="AR170" s="357"/>
      <c r="AS170" s="357"/>
      <c r="AT170" s="357"/>
      <c r="AU170" s="357"/>
      <c r="AV170" s="357"/>
      <c r="AW170" s="357"/>
      <c r="AX170" s="357"/>
      <c r="AY170" s="357"/>
      <c r="AZ170" s="357"/>
      <c r="BA170" s="357"/>
      <c r="BB170" s="357"/>
      <c r="BC170" s="357"/>
      <c r="BD170" s="357"/>
    </row>
    <row r="171" spans="1:56">
      <c r="A171" s="1046"/>
      <c r="B171" s="399" t="s">
        <v>131</v>
      </c>
      <c r="C171" s="579"/>
      <c r="D171" s="580"/>
      <c r="E171" s="581"/>
      <c r="F171" s="579"/>
      <c r="G171" s="580"/>
      <c r="H171" s="581"/>
      <c r="I171" s="579"/>
      <c r="J171" s="580"/>
      <c r="K171" s="581"/>
      <c r="L171" s="579"/>
      <c r="M171" s="580"/>
      <c r="N171" s="586">
        <v>91</v>
      </c>
      <c r="O171" s="575">
        <f t="shared" si="9"/>
        <v>96</v>
      </c>
      <c r="P171" s="455">
        <f t="shared" si="10"/>
        <v>96</v>
      </c>
      <c r="Q171" s="455">
        <f t="shared" si="11"/>
        <v>96</v>
      </c>
      <c r="R171" s="455">
        <f t="shared" si="12"/>
        <v>96</v>
      </c>
      <c r="S171" s="402">
        <v>0.05</v>
      </c>
      <c r="T171" s="589">
        <v>0.15</v>
      </c>
      <c r="U171" s="378">
        <v>0.15</v>
      </c>
      <c r="V171" s="378">
        <v>0.15</v>
      </c>
      <c r="W171" s="380">
        <v>0.15</v>
      </c>
      <c r="X171" s="357"/>
      <c r="Y171" s="357"/>
      <c r="Z171" s="357"/>
      <c r="AA171" s="357"/>
      <c r="AB171" s="357"/>
      <c r="AC171" s="357"/>
      <c r="AD171" s="357"/>
      <c r="AE171" s="357"/>
      <c r="AF171" s="357"/>
      <c r="AG171" s="357"/>
      <c r="AH171" s="357"/>
      <c r="AI171" s="357"/>
      <c r="AJ171" s="357"/>
      <c r="AK171" s="357"/>
      <c r="AL171" s="357"/>
      <c r="AM171" s="357"/>
      <c r="AN171" s="357"/>
      <c r="AO171" s="357"/>
      <c r="AP171" s="357"/>
      <c r="AQ171" s="357"/>
      <c r="AR171" s="357"/>
      <c r="AS171" s="357"/>
      <c r="AT171" s="357"/>
      <c r="AU171" s="357"/>
      <c r="AV171" s="357"/>
      <c r="AW171" s="357"/>
      <c r="AX171" s="357"/>
      <c r="AY171" s="357"/>
      <c r="AZ171" s="357"/>
      <c r="BA171" s="357"/>
      <c r="BB171" s="357"/>
      <c r="BC171" s="357"/>
      <c r="BD171" s="357"/>
    </row>
    <row r="172" spans="1:56">
      <c r="A172" s="1046"/>
      <c r="B172" s="399" t="s">
        <v>132</v>
      </c>
      <c r="C172" s="579"/>
      <c r="D172" s="580"/>
      <c r="E172" s="581"/>
      <c r="F172" s="579"/>
      <c r="G172" s="580"/>
      <c r="H172" s="581"/>
      <c r="I172" s="579"/>
      <c r="J172" s="580"/>
      <c r="K172" s="581"/>
      <c r="L172" s="579"/>
      <c r="M172" s="580"/>
      <c r="N172" s="586">
        <v>40</v>
      </c>
      <c r="O172" s="575">
        <f t="shared" si="9"/>
        <v>42</v>
      </c>
      <c r="P172" s="455">
        <f t="shared" si="10"/>
        <v>42</v>
      </c>
      <c r="Q172" s="455">
        <f t="shared" si="11"/>
        <v>42</v>
      </c>
      <c r="R172" s="455">
        <f t="shared" si="12"/>
        <v>42</v>
      </c>
      <c r="S172" s="402">
        <v>0.05</v>
      </c>
      <c r="T172" s="589">
        <v>0.25</v>
      </c>
      <c r="U172" s="378">
        <v>0.1</v>
      </c>
      <c r="V172" s="378">
        <v>0.1</v>
      </c>
      <c r="W172" s="380">
        <v>0.1</v>
      </c>
      <c r="X172" s="357"/>
      <c r="Y172" s="357"/>
      <c r="Z172" s="357"/>
      <c r="AA172" s="357"/>
      <c r="AB172" s="357"/>
      <c r="AC172" s="357"/>
      <c r="AD172" s="357"/>
      <c r="AE172" s="357"/>
      <c r="AF172" s="357"/>
      <c r="AG172" s="357"/>
      <c r="AH172" s="357"/>
      <c r="AI172" s="357"/>
      <c r="AJ172" s="357"/>
      <c r="AK172" s="357"/>
      <c r="AL172" s="357"/>
      <c r="AM172" s="357"/>
      <c r="AN172" s="357"/>
      <c r="AO172" s="357"/>
      <c r="AP172" s="357"/>
      <c r="AQ172" s="357"/>
      <c r="AR172" s="357"/>
      <c r="AS172" s="357"/>
      <c r="AT172" s="357"/>
      <c r="AU172" s="357"/>
      <c r="AV172" s="357"/>
      <c r="AW172" s="357"/>
      <c r="AX172" s="357"/>
      <c r="AY172" s="357"/>
      <c r="AZ172" s="357"/>
      <c r="BA172" s="357"/>
      <c r="BB172" s="357"/>
      <c r="BC172" s="357"/>
      <c r="BD172" s="357"/>
    </row>
    <row r="173" spans="1:56">
      <c r="A173" s="1046"/>
      <c r="B173" s="399" t="s">
        <v>133</v>
      </c>
      <c r="C173" s="579"/>
      <c r="D173" s="580"/>
      <c r="E173" s="581"/>
      <c r="F173" s="579"/>
      <c r="G173" s="580"/>
      <c r="H173" s="581"/>
      <c r="I173" s="579"/>
      <c r="J173" s="580"/>
      <c r="K173" s="581"/>
      <c r="L173" s="579"/>
      <c r="M173" s="580"/>
      <c r="N173" s="586">
        <v>86</v>
      </c>
      <c r="O173" s="575">
        <f t="shared" si="9"/>
        <v>90</v>
      </c>
      <c r="P173" s="455">
        <f t="shared" si="10"/>
        <v>90</v>
      </c>
      <c r="Q173" s="455">
        <f t="shared" si="11"/>
        <v>90</v>
      </c>
      <c r="R173" s="455">
        <f t="shared" si="12"/>
        <v>90</v>
      </c>
      <c r="S173" s="402">
        <v>0.05</v>
      </c>
      <c r="T173" s="589">
        <v>0.15</v>
      </c>
      <c r="U173" s="378">
        <v>0.15</v>
      </c>
      <c r="V173" s="378">
        <v>0.15</v>
      </c>
      <c r="W173" s="380">
        <v>0.15</v>
      </c>
      <c r="X173" s="357"/>
      <c r="Y173" s="357"/>
      <c r="Z173" s="357"/>
      <c r="AA173" s="357"/>
      <c r="AB173" s="357"/>
      <c r="AC173" s="357"/>
      <c r="AD173" s="357"/>
      <c r="AE173" s="357"/>
      <c r="AF173" s="357"/>
      <c r="AG173" s="357"/>
      <c r="AH173" s="357"/>
      <c r="AI173" s="357"/>
      <c r="AJ173" s="357"/>
      <c r="AK173" s="357"/>
      <c r="AL173" s="357"/>
      <c r="AM173" s="357"/>
      <c r="AN173" s="357"/>
      <c r="AO173" s="357"/>
      <c r="AP173" s="357"/>
      <c r="AQ173" s="357"/>
      <c r="AR173" s="357"/>
      <c r="AS173" s="357"/>
      <c r="AT173" s="357"/>
      <c r="AU173" s="357"/>
      <c r="AV173" s="357"/>
      <c r="AW173" s="357"/>
      <c r="AX173" s="357"/>
      <c r="AY173" s="357"/>
      <c r="AZ173" s="357"/>
      <c r="BA173" s="357"/>
      <c r="BB173" s="357"/>
      <c r="BC173" s="357"/>
      <c r="BD173" s="357"/>
    </row>
    <row r="174" spans="1:56">
      <c r="A174" s="1046"/>
      <c r="B174" s="399" t="s">
        <v>134</v>
      </c>
      <c r="C174" s="579"/>
      <c r="D174" s="580"/>
      <c r="E174" s="581"/>
      <c r="F174" s="579"/>
      <c r="G174" s="580"/>
      <c r="H174" s="581"/>
      <c r="I174" s="579"/>
      <c r="J174" s="580"/>
      <c r="K174" s="581"/>
      <c r="L174" s="579"/>
      <c r="M174" s="580"/>
      <c r="N174" s="586">
        <v>400</v>
      </c>
      <c r="O174" s="575">
        <f t="shared" si="9"/>
        <v>420</v>
      </c>
      <c r="P174" s="455">
        <f t="shared" si="10"/>
        <v>420</v>
      </c>
      <c r="Q174" s="455">
        <f t="shared" si="11"/>
        <v>420</v>
      </c>
      <c r="R174" s="455">
        <f t="shared" si="12"/>
        <v>420</v>
      </c>
      <c r="S174" s="402">
        <v>0.05</v>
      </c>
      <c r="T174" s="589">
        <v>0.2</v>
      </c>
      <c r="U174" s="378">
        <v>0.1</v>
      </c>
      <c r="V174" s="378">
        <v>0.2</v>
      </c>
      <c r="W174" s="380">
        <v>0.2</v>
      </c>
      <c r="X174" s="357"/>
      <c r="Y174" s="357"/>
      <c r="Z174" s="357"/>
      <c r="AA174" s="357"/>
      <c r="AB174" s="357"/>
      <c r="AC174" s="357"/>
      <c r="AD174" s="357"/>
      <c r="AE174" s="357"/>
      <c r="AF174" s="357"/>
      <c r="AG174" s="357"/>
      <c r="AH174" s="357"/>
      <c r="AI174" s="357"/>
      <c r="AJ174" s="357"/>
      <c r="AK174" s="357"/>
      <c r="AL174" s="357"/>
      <c r="AM174" s="357"/>
      <c r="AN174" s="357"/>
      <c r="AO174" s="357"/>
      <c r="AP174" s="357"/>
      <c r="AQ174" s="357"/>
      <c r="AR174" s="357"/>
      <c r="AS174" s="357"/>
      <c r="AT174" s="357"/>
      <c r="AU174" s="357"/>
      <c r="AV174" s="357"/>
      <c r="AW174" s="357"/>
      <c r="AX174" s="357"/>
      <c r="AY174" s="357"/>
      <c r="AZ174" s="357"/>
      <c r="BA174" s="357"/>
      <c r="BB174" s="357"/>
      <c r="BC174" s="357"/>
      <c r="BD174" s="357"/>
    </row>
    <row r="175" spans="1:56">
      <c r="A175" s="1046"/>
      <c r="B175" s="399" t="s">
        <v>135</v>
      </c>
      <c r="C175" s="579"/>
      <c r="D175" s="580"/>
      <c r="E175" s="581"/>
      <c r="F175" s="579"/>
      <c r="G175" s="580"/>
      <c r="H175" s="581"/>
      <c r="I175" s="579"/>
      <c r="J175" s="580"/>
      <c r="K175" s="581"/>
      <c r="L175" s="579"/>
      <c r="M175" s="580"/>
      <c r="N175" s="586">
        <v>100</v>
      </c>
      <c r="O175" s="575">
        <f t="shared" si="9"/>
        <v>105</v>
      </c>
      <c r="P175" s="455">
        <f t="shared" si="10"/>
        <v>105</v>
      </c>
      <c r="Q175" s="455">
        <f t="shared" si="11"/>
        <v>105</v>
      </c>
      <c r="R175" s="455">
        <f t="shared" si="12"/>
        <v>105</v>
      </c>
      <c r="S175" s="402">
        <v>0.05</v>
      </c>
      <c r="T175" s="589">
        <v>0.25</v>
      </c>
      <c r="U175" s="378">
        <v>0.14000000000000001</v>
      </c>
      <c r="V175" s="378">
        <v>0.25</v>
      </c>
      <c r="W175" s="380">
        <v>0.25</v>
      </c>
      <c r="X175" s="357"/>
      <c r="Y175" s="357"/>
      <c r="Z175" s="357"/>
      <c r="AA175" s="357"/>
      <c r="AB175" s="357"/>
      <c r="AC175" s="357"/>
      <c r="AD175" s="357"/>
      <c r="AE175" s="357"/>
      <c r="AF175" s="357"/>
      <c r="AG175" s="357"/>
      <c r="AH175" s="357"/>
      <c r="AI175" s="357"/>
      <c r="AJ175" s="357"/>
      <c r="AK175" s="357"/>
      <c r="AL175" s="357"/>
      <c r="AM175" s="357"/>
      <c r="AN175" s="357"/>
      <c r="AO175" s="357"/>
      <c r="AP175" s="357"/>
      <c r="AQ175" s="357"/>
      <c r="AR175" s="357"/>
      <c r="AS175" s="357"/>
      <c r="AT175" s="357"/>
      <c r="AU175" s="357"/>
      <c r="AV175" s="357"/>
      <c r="AW175" s="357"/>
      <c r="AX175" s="357"/>
      <c r="AY175" s="357"/>
      <c r="AZ175" s="357"/>
      <c r="BA175" s="357"/>
      <c r="BB175" s="357"/>
      <c r="BC175" s="357"/>
      <c r="BD175" s="357"/>
    </row>
    <row r="176" spans="1:56">
      <c r="A176" s="1046"/>
      <c r="B176" s="399" t="s">
        <v>139</v>
      </c>
      <c r="C176" s="579"/>
      <c r="D176" s="580"/>
      <c r="E176" s="581"/>
      <c r="F176" s="579"/>
      <c r="G176" s="580"/>
      <c r="H176" s="581"/>
      <c r="I176" s="579"/>
      <c r="J176" s="580"/>
      <c r="K176" s="581"/>
      <c r="L176" s="579"/>
      <c r="M176" s="580"/>
      <c r="N176" s="586">
        <v>36</v>
      </c>
      <c r="O176" s="575">
        <f t="shared" si="9"/>
        <v>38</v>
      </c>
      <c r="P176" s="455">
        <f t="shared" si="10"/>
        <v>38</v>
      </c>
      <c r="Q176" s="455">
        <f t="shared" si="11"/>
        <v>38</v>
      </c>
      <c r="R176" s="455">
        <f t="shared" si="12"/>
        <v>38</v>
      </c>
      <c r="S176" s="402">
        <v>0.05</v>
      </c>
      <c r="T176" s="589">
        <v>0.15</v>
      </c>
      <c r="U176" s="378">
        <v>0.15</v>
      </c>
      <c r="V176" s="378">
        <v>0.15</v>
      </c>
      <c r="W176" s="380">
        <v>0.15</v>
      </c>
      <c r="X176" s="357"/>
      <c r="Y176" s="357"/>
      <c r="Z176" s="357"/>
      <c r="AA176" s="357"/>
      <c r="AB176" s="357"/>
      <c r="AC176" s="357"/>
      <c r="AD176" s="357"/>
      <c r="AE176" s="357"/>
      <c r="AF176" s="357"/>
      <c r="AG176" s="357"/>
      <c r="AH176" s="357"/>
      <c r="AI176" s="357"/>
      <c r="AJ176" s="357"/>
      <c r="AK176" s="357"/>
      <c r="AL176" s="357"/>
      <c r="AM176" s="357"/>
      <c r="AN176" s="357"/>
      <c r="AO176" s="357"/>
      <c r="AP176" s="357"/>
      <c r="AQ176" s="357"/>
      <c r="AR176" s="357"/>
      <c r="AS176" s="357"/>
      <c r="AT176" s="357"/>
      <c r="AU176" s="357"/>
      <c r="AV176" s="357"/>
      <c r="AW176" s="357"/>
      <c r="AX176" s="357"/>
      <c r="AY176" s="357"/>
      <c r="AZ176" s="357"/>
      <c r="BA176" s="357"/>
      <c r="BB176" s="357"/>
      <c r="BC176" s="357"/>
      <c r="BD176" s="357"/>
    </row>
    <row r="177" spans="1:56">
      <c r="A177" s="1046"/>
      <c r="B177" s="399" t="s">
        <v>140</v>
      </c>
      <c r="C177" s="579"/>
      <c r="D177" s="580"/>
      <c r="E177" s="581"/>
      <c r="F177" s="579"/>
      <c r="G177" s="580"/>
      <c r="H177" s="581"/>
      <c r="I177" s="579"/>
      <c r="J177" s="580"/>
      <c r="K177" s="581"/>
      <c r="L177" s="579"/>
      <c r="M177" s="580"/>
      <c r="N177" s="586">
        <v>36</v>
      </c>
      <c r="O177" s="575">
        <f t="shared" si="9"/>
        <v>38</v>
      </c>
      <c r="P177" s="455">
        <f t="shared" si="10"/>
        <v>38</v>
      </c>
      <c r="Q177" s="455">
        <f t="shared" si="11"/>
        <v>38</v>
      </c>
      <c r="R177" s="455">
        <f t="shared" si="12"/>
        <v>38</v>
      </c>
      <c r="S177" s="402">
        <v>0.05</v>
      </c>
      <c r="T177" s="589">
        <v>0.2</v>
      </c>
      <c r="U177" s="378">
        <v>0.1</v>
      </c>
      <c r="V177" s="378">
        <v>0.1</v>
      </c>
      <c r="W177" s="380">
        <v>0.1</v>
      </c>
      <c r="X177" s="357"/>
      <c r="Y177" s="357"/>
      <c r="Z177" s="357"/>
      <c r="AA177" s="357"/>
      <c r="AB177" s="357"/>
      <c r="AC177" s="357"/>
      <c r="AD177" s="357"/>
      <c r="AE177" s="357"/>
      <c r="AF177" s="357"/>
      <c r="AG177" s="357"/>
      <c r="AH177" s="357"/>
      <c r="AI177" s="357"/>
      <c r="AJ177" s="357"/>
      <c r="AK177" s="357"/>
      <c r="AL177" s="357"/>
      <c r="AM177" s="357"/>
      <c r="AN177" s="357"/>
      <c r="AO177" s="357"/>
      <c r="AP177" s="357"/>
      <c r="AQ177" s="357"/>
      <c r="AR177" s="357"/>
      <c r="AS177" s="357"/>
      <c r="AT177" s="357"/>
      <c r="AU177" s="357"/>
      <c r="AV177" s="357"/>
      <c r="AW177" s="357"/>
      <c r="AX177" s="357"/>
      <c r="AY177" s="357"/>
      <c r="AZ177" s="357"/>
      <c r="BA177" s="357"/>
      <c r="BB177" s="357"/>
      <c r="BC177" s="357"/>
      <c r="BD177" s="357"/>
    </row>
    <row r="178" spans="1:56">
      <c r="A178" s="1046"/>
      <c r="B178" s="399" t="s">
        <v>141</v>
      </c>
      <c r="C178" s="579"/>
      <c r="D178" s="580"/>
      <c r="E178" s="581"/>
      <c r="F178" s="579"/>
      <c r="G178" s="580"/>
      <c r="H178" s="581"/>
      <c r="I178" s="579"/>
      <c r="J178" s="580"/>
      <c r="K178" s="581"/>
      <c r="L178" s="579"/>
      <c r="M178" s="580"/>
      <c r="N178" s="586">
        <v>65</v>
      </c>
      <c r="O178" s="575">
        <f t="shared" si="9"/>
        <v>68</v>
      </c>
      <c r="P178" s="455">
        <f t="shared" si="10"/>
        <v>68</v>
      </c>
      <c r="Q178" s="455">
        <f t="shared" si="11"/>
        <v>68</v>
      </c>
      <c r="R178" s="455">
        <f t="shared" si="12"/>
        <v>68</v>
      </c>
      <c r="S178" s="402">
        <v>0.05</v>
      </c>
      <c r="T178" s="589">
        <v>0.15</v>
      </c>
      <c r="U178" s="378">
        <v>0.15</v>
      </c>
      <c r="V178" s="378">
        <v>0.15</v>
      </c>
      <c r="W178" s="380">
        <v>0.15</v>
      </c>
      <c r="X178" s="357"/>
      <c r="Y178" s="357"/>
      <c r="Z178" s="357"/>
      <c r="AA178" s="357"/>
      <c r="AB178" s="357"/>
      <c r="AC178" s="357"/>
      <c r="AD178" s="357"/>
      <c r="AE178" s="357"/>
      <c r="AF178" s="357"/>
      <c r="AG178" s="357"/>
      <c r="AH178" s="357"/>
      <c r="AI178" s="357"/>
      <c r="AJ178" s="357"/>
      <c r="AK178" s="357"/>
      <c r="AL178" s="357"/>
      <c r="AM178" s="357"/>
      <c r="AN178" s="357"/>
      <c r="AO178" s="357"/>
      <c r="AP178" s="357"/>
      <c r="AQ178" s="357"/>
      <c r="AR178" s="357"/>
      <c r="AS178" s="357"/>
      <c r="AT178" s="357"/>
      <c r="AU178" s="357"/>
      <c r="AV178" s="357"/>
      <c r="AW178" s="357"/>
      <c r="AX178" s="357"/>
      <c r="AY178" s="357"/>
      <c r="AZ178" s="357"/>
      <c r="BA178" s="357"/>
      <c r="BB178" s="357"/>
      <c r="BC178" s="357"/>
      <c r="BD178" s="357"/>
    </row>
    <row r="179" spans="1:56">
      <c r="A179" s="1046"/>
      <c r="B179" s="399" t="s">
        <v>142</v>
      </c>
      <c r="C179" s="579"/>
      <c r="D179" s="580"/>
      <c r="E179" s="581"/>
      <c r="F179" s="579"/>
      <c r="G179" s="580"/>
      <c r="H179" s="581"/>
      <c r="I179" s="579"/>
      <c r="J179" s="580"/>
      <c r="K179" s="581"/>
      <c r="L179" s="579"/>
      <c r="M179" s="580"/>
      <c r="N179" s="586">
        <v>260</v>
      </c>
      <c r="O179" s="575">
        <f t="shared" si="9"/>
        <v>273</v>
      </c>
      <c r="P179" s="455">
        <f t="shared" si="10"/>
        <v>273</v>
      </c>
      <c r="Q179" s="455">
        <f t="shared" si="11"/>
        <v>273</v>
      </c>
      <c r="R179" s="455">
        <f t="shared" si="12"/>
        <v>273</v>
      </c>
      <c r="S179" s="402">
        <v>0.05</v>
      </c>
      <c r="T179" s="589">
        <v>0.2</v>
      </c>
      <c r="U179" s="378">
        <v>0.12</v>
      </c>
      <c r="V179" s="378">
        <v>0.2</v>
      </c>
      <c r="W179" s="380">
        <v>0.2</v>
      </c>
      <c r="X179" s="357"/>
      <c r="Y179" s="357"/>
      <c r="Z179" s="357"/>
      <c r="AA179" s="357"/>
      <c r="AB179" s="357"/>
      <c r="AC179" s="357"/>
      <c r="AD179" s="357"/>
      <c r="AE179" s="357"/>
      <c r="AF179" s="357"/>
      <c r="AG179" s="357"/>
      <c r="AH179" s="357"/>
      <c r="AI179" s="357"/>
      <c r="AJ179" s="357"/>
      <c r="AK179" s="357"/>
      <c r="AL179" s="357"/>
      <c r="AM179" s="357"/>
      <c r="AN179" s="357"/>
      <c r="AO179" s="357"/>
      <c r="AP179" s="357"/>
      <c r="AQ179" s="357"/>
      <c r="AR179" s="357"/>
      <c r="AS179" s="357"/>
      <c r="AT179" s="357"/>
      <c r="AU179" s="357"/>
      <c r="AV179" s="357"/>
      <c r="AW179" s="357"/>
      <c r="AX179" s="357"/>
      <c r="AY179" s="357"/>
      <c r="AZ179" s="357"/>
      <c r="BA179" s="357"/>
      <c r="BB179" s="357"/>
      <c r="BC179" s="357"/>
      <c r="BD179" s="357"/>
    </row>
    <row r="180" spans="1:56">
      <c r="A180" s="1046"/>
      <c r="B180" s="399" t="s">
        <v>131</v>
      </c>
      <c r="C180" s="579"/>
      <c r="D180" s="580"/>
      <c r="E180" s="581"/>
      <c r="F180" s="579"/>
      <c r="G180" s="580"/>
      <c r="H180" s="581"/>
      <c r="I180" s="579"/>
      <c r="J180" s="580"/>
      <c r="K180" s="581"/>
      <c r="L180" s="579"/>
      <c r="M180" s="580"/>
      <c r="N180" s="586">
        <v>150</v>
      </c>
      <c r="O180" s="575">
        <f t="shared" si="9"/>
        <v>158</v>
      </c>
      <c r="P180" s="455">
        <f t="shared" si="10"/>
        <v>158</v>
      </c>
      <c r="Q180" s="455">
        <f t="shared" si="11"/>
        <v>158</v>
      </c>
      <c r="R180" s="455">
        <f t="shared" si="12"/>
        <v>158</v>
      </c>
      <c r="S180" s="402">
        <v>0.05</v>
      </c>
      <c r="T180" s="589">
        <v>0.25</v>
      </c>
      <c r="U180" s="378">
        <v>0.15</v>
      </c>
      <c r="V180" s="378">
        <v>0.25</v>
      </c>
      <c r="W180" s="380">
        <v>0.25</v>
      </c>
      <c r="X180" s="357"/>
      <c r="Y180" s="357"/>
      <c r="Z180" s="357"/>
      <c r="AA180" s="357"/>
      <c r="AB180" s="357"/>
      <c r="AC180" s="357"/>
      <c r="AD180" s="357"/>
      <c r="AE180" s="357"/>
      <c r="AF180" s="357"/>
      <c r="AG180" s="357"/>
      <c r="AH180" s="357"/>
      <c r="AI180" s="357"/>
      <c r="AJ180" s="357"/>
      <c r="AK180" s="357"/>
      <c r="AL180" s="357"/>
      <c r="AM180" s="357"/>
      <c r="AN180" s="357"/>
      <c r="AO180" s="357"/>
      <c r="AP180" s="357"/>
      <c r="AQ180" s="357"/>
      <c r="AR180" s="357"/>
      <c r="AS180" s="357"/>
      <c r="AT180" s="357"/>
      <c r="AU180" s="357"/>
      <c r="AV180" s="357"/>
      <c r="AW180" s="357"/>
      <c r="AX180" s="357"/>
      <c r="AY180" s="357"/>
      <c r="AZ180" s="357"/>
      <c r="BA180" s="357"/>
      <c r="BB180" s="357"/>
      <c r="BC180" s="357"/>
      <c r="BD180" s="357"/>
    </row>
    <row r="181" spans="1:56">
      <c r="A181" s="1046"/>
      <c r="B181" s="399" t="s">
        <v>136</v>
      </c>
      <c r="C181" s="579"/>
      <c r="D181" s="580"/>
      <c r="E181" s="581"/>
      <c r="F181" s="579"/>
      <c r="G181" s="580"/>
      <c r="H181" s="581"/>
      <c r="I181" s="579"/>
      <c r="J181" s="580"/>
      <c r="K181" s="581"/>
      <c r="L181" s="579"/>
      <c r="M181" s="580"/>
      <c r="N181" s="586">
        <v>240</v>
      </c>
      <c r="O181" s="575">
        <f t="shared" si="9"/>
        <v>252</v>
      </c>
      <c r="P181" s="455">
        <f t="shared" si="10"/>
        <v>252</v>
      </c>
      <c r="Q181" s="455">
        <f t="shared" si="11"/>
        <v>252</v>
      </c>
      <c r="R181" s="455">
        <f t="shared" si="12"/>
        <v>252</v>
      </c>
      <c r="S181" s="402">
        <v>0.05</v>
      </c>
      <c r="T181" s="589">
        <v>0.15</v>
      </c>
      <c r="U181" s="378">
        <v>0.15</v>
      </c>
      <c r="V181" s="378">
        <v>0.15</v>
      </c>
      <c r="W181" s="380">
        <v>0.15</v>
      </c>
      <c r="X181" s="357"/>
      <c r="Y181" s="357"/>
      <c r="Z181" s="357"/>
      <c r="AA181" s="357"/>
      <c r="AB181" s="357"/>
      <c r="AC181" s="357"/>
      <c r="AD181" s="357"/>
      <c r="AE181" s="357"/>
      <c r="AF181" s="357"/>
      <c r="AG181" s="357"/>
      <c r="AH181" s="357"/>
      <c r="AI181" s="357"/>
      <c r="AJ181" s="357"/>
      <c r="AK181" s="357"/>
      <c r="AL181" s="357"/>
      <c r="AM181" s="357"/>
      <c r="AN181" s="357"/>
      <c r="AO181" s="357"/>
      <c r="AP181" s="357"/>
      <c r="AQ181" s="357"/>
      <c r="AR181" s="357"/>
      <c r="AS181" s="357"/>
      <c r="AT181" s="357"/>
      <c r="AU181" s="357"/>
      <c r="AV181" s="357"/>
      <c r="AW181" s="357"/>
      <c r="AX181" s="357"/>
      <c r="AY181" s="357"/>
      <c r="AZ181" s="357"/>
      <c r="BA181" s="357"/>
      <c r="BB181" s="357"/>
      <c r="BC181" s="357"/>
      <c r="BD181" s="357"/>
    </row>
    <row r="182" spans="1:56">
      <c r="A182" s="1046"/>
      <c r="B182" s="399" t="s">
        <v>137</v>
      </c>
      <c r="C182" s="579"/>
      <c r="D182" s="580"/>
      <c r="E182" s="581"/>
      <c r="F182" s="579"/>
      <c r="G182" s="580"/>
      <c r="H182" s="581"/>
      <c r="I182" s="579"/>
      <c r="J182" s="580"/>
      <c r="K182" s="581"/>
      <c r="L182" s="579"/>
      <c r="M182" s="580"/>
      <c r="N182" s="586">
        <v>230</v>
      </c>
      <c r="O182" s="575">
        <f t="shared" si="9"/>
        <v>242</v>
      </c>
      <c r="P182" s="455">
        <f t="shared" si="10"/>
        <v>242</v>
      </c>
      <c r="Q182" s="455">
        <f t="shared" si="11"/>
        <v>242</v>
      </c>
      <c r="R182" s="455">
        <f t="shared" si="12"/>
        <v>242</v>
      </c>
      <c r="S182" s="402">
        <v>0.05</v>
      </c>
      <c r="T182" s="589">
        <v>0.2</v>
      </c>
      <c r="U182" s="378">
        <v>0.1</v>
      </c>
      <c r="V182" s="378">
        <v>0.2</v>
      </c>
      <c r="W182" s="380">
        <v>0.2</v>
      </c>
      <c r="X182" s="357"/>
      <c r="Y182" s="357"/>
      <c r="Z182" s="357"/>
      <c r="AA182" s="357"/>
      <c r="AB182" s="357"/>
      <c r="AC182" s="357"/>
      <c r="AD182" s="357"/>
      <c r="AE182" s="357"/>
      <c r="AF182" s="357"/>
      <c r="AG182" s="357"/>
      <c r="AH182" s="357"/>
      <c r="AI182" s="357"/>
      <c r="AJ182" s="357"/>
      <c r="AK182" s="357"/>
      <c r="AL182" s="357"/>
      <c r="AM182" s="357"/>
      <c r="AN182" s="357"/>
      <c r="AO182" s="357"/>
      <c r="AP182" s="357"/>
      <c r="AQ182" s="357"/>
      <c r="AR182" s="357"/>
      <c r="AS182" s="357"/>
      <c r="AT182" s="357"/>
      <c r="AU182" s="357"/>
      <c r="AV182" s="357"/>
      <c r="AW182" s="357"/>
      <c r="AX182" s="357"/>
      <c r="AY182" s="357"/>
      <c r="AZ182" s="357"/>
      <c r="BA182" s="357"/>
      <c r="BB182" s="357"/>
      <c r="BC182" s="357"/>
      <c r="BD182" s="357"/>
    </row>
    <row r="183" spans="1:56" ht="16.5" thickBot="1">
      <c r="A183" s="1047"/>
      <c r="B183" s="403" t="s">
        <v>138</v>
      </c>
      <c r="C183" s="582"/>
      <c r="D183" s="583"/>
      <c r="E183" s="584"/>
      <c r="F183" s="582"/>
      <c r="G183" s="583"/>
      <c r="H183" s="584"/>
      <c r="I183" s="582"/>
      <c r="J183" s="583"/>
      <c r="K183" s="584"/>
      <c r="L183" s="582"/>
      <c r="M183" s="583"/>
      <c r="N183" s="587">
        <v>90</v>
      </c>
      <c r="O183" s="575">
        <f t="shared" si="9"/>
        <v>95</v>
      </c>
      <c r="P183" s="455">
        <f t="shared" si="10"/>
        <v>95</v>
      </c>
      <c r="Q183" s="455">
        <f t="shared" si="11"/>
        <v>95</v>
      </c>
      <c r="R183" s="455">
        <f t="shared" si="12"/>
        <v>95</v>
      </c>
      <c r="S183" s="402">
        <v>0.05</v>
      </c>
      <c r="T183" s="589">
        <v>0.1</v>
      </c>
      <c r="U183" s="378">
        <v>0.08</v>
      </c>
      <c r="V183" s="378">
        <v>0.1</v>
      </c>
      <c r="W183" s="380">
        <v>0.1</v>
      </c>
      <c r="X183" s="357"/>
      <c r="Y183" s="357"/>
      <c r="Z183" s="357"/>
      <c r="AA183" s="357"/>
      <c r="AB183" s="357"/>
      <c r="AC183" s="357"/>
      <c r="AD183" s="357"/>
      <c r="AE183" s="357"/>
      <c r="AF183" s="357"/>
      <c r="AG183" s="357"/>
      <c r="AH183" s="357"/>
      <c r="AI183" s="357"/>
      <c r="AJ183" s="357"/>
      <c r="AK183" s="357"/>
      <c r="AL183" s="357"/>
      <c r="AM183" s="357"/>
      <c r="AN183" s="357"/>
      <c r="AO183" s="357"/>
      <c r="AP183" s="357"/>
      <c r="AQ183" s="357"/>
      <c r="AR183" s="357"/>
      <c r="AS183" s="357"/>
      <c r="AT183" s="357"/>
      <c r="AU183" s="357"/>
      <c r="AV183" s="357"/>
      <c r="AW183" s="357"/>
      <c r="AX183" s="357"/>
      <c r="AY183" s="357"/>
      <c r="AZ183" s="357"/>
      <c r="BA183" s="357"/>
      <c r="BB183" s="357"/>
      <c r="BC183" s="357"/>
      <c r="BD183" s="357"/>
    </row>
    <row r="184" spans="1:56">
      <c r="A184" s="1045" t="s">
        <v>143</v>
      </c>
      <c r="B184" s="277" t="s">
        <v>144</v>
      </c>
      <c r="C184" s="576"/>
      <c r="D184" s="577"/>
      <c r="E184" s="578"/>
      <c r="F184" s="576"/>
      <c r="G184" s="577"/>
      <c r="H184" s="578"/>
      <c r="I184" s="576"/>
      <c r="J184" s="577"/>
      <c r="K184" s="578"/>
      <c r="L184" s="576"/>
      <c r="M184" s="577"/>
      <c r="N184" s="585">
        <v>6</v>
      </c>
      <c r="O184" s="575">
        <f t="shared" si="9"/>
        <v>6</v>
      </c>
      <c r="P184" s="455">
        <f t="shared" si="10"/>
        <v>6</v>
      </c>
      <c r="Q184" s="455">
        <f t="shared" si="11"/>
        <v>6</v>
      </c>
      <c r="R184" s="455">
        <f t="shared" si="12"/>
        <v>6</v>
      </c>
      <c r="S184" s="402">
        <v>0.05</v>
      </c>
      <c r="T184" s="589">
        <v>0.25</v>
      </c>
      <c r="U184" s="378">
        <v>0.1</v>
      </c>
      <c r="V184" s="378">
        <v>0.15</v>
      </c>
      <c r="W184" s="380">
        <v>0.15</v>
      </c>
      <c r="X184" s="357"/>
      <c r="Y184" s="357"/>
      <c r="Z184" s="357"/>
      <c r="AA184" s="357"/>
      <c r="AB184" s="357"/>
      <c r="AC184" s="357"/>
      <c r="AD184" s="357"/>
      <c r="AE184" s="357"/>
      <c r="AF184" s="357"/>
      <c r="AG184" s="357"/>
      <c r="AH184" s="357"/>
      <c r="AI184" s="357"/>
      <c r="AJ184" s="357"/>
      <c r="AK184" s="357"/>
      <c r="AL184" s="357"/>
      <c r="AM184" s="357"/>
      <c r="AN184" s="357"/>
      <c r="AO184" s="357"/>
      <c r="AP184" s="357"/>
      <c r="AQ184" s="357"/>
      <c r="AR184" s="357"/>
      <c r="AS184" s="357"/>
      <c r="AT184" s="357"/>
      <c r="AU184" s="357"/>
      <c r="AV184" s="357"/>
      <c r="AW184" s="357"/>
      <c r="AX184" s="357"/>
      <c r="AY184" s="357"/>
      <c r="AZ184" s="357"/>
      <c r="BA184" s="357"/>
      <c r="BB184" s="357"/>
      <c r="BC184" s="357"/>
      <c r="BD184" s="357"/>
    </row>
    <row r="185" spans="1:56">
      <c r="A185" s="1046"/>
      <c r="B185" s="274" t="s">
        <v>145</v>
      </c>
      <c r="C185" s="579"/>
      <c r="D185" s="580"/>
      <c r="E185" s="581"/>
      <c r="F185" s="579"/>
      <c r="G185" s="580"/>
      <c r="H185" s="581"/>
      <c r="I185" s="579"/>
      <c r="J185" s="580"/>
      <c r="K185" s="581"/>
      <c r="L185" s="579"/>
      <c r="M185" s="580"/>
      <c r="N185" s="586">
        <v>23</v>
      </c>
      <c r="O185" s="575">
        <f t="shared" si="9"/>
        <v>24</v>
      </c>
      <c r="P185" s="455">
        <f t="shared" si="10"/>
        <v>24</v>
      </c>
      <c r="Q185" s="455">
        <f t="shared" si="11"/>
        <v>24</v>
      </c>
      <c r="R185" s="455">
        <f t="shared" si="12"/>
        <v>24</v>
      </c>
      <c r="S185" s="402">
        <v>0.05</v>
      </c>
      <c r="T185" s="589">
        <v>0.2</v>
      </c>
      <c r="U185" s="378">
        <v>0.2</v>
      </c>
      <c r="V185" s="378">
        <v>0.2</v>
      </c>
      <c r="W185" s="380">
        <v>0.2</v>
      </c>
      <c r="X185" s="357"/>
      <c r="Y185" s="357"/>
      <c r="Z185" s="357"/>
      <c r="AA185" s="357"/>
      <c r="AB185" s="357"/>
      <c r="AC185" s="357"/>
      <c r="AD185" s="357"/>
      <c r="AE185" s="357"/>
      <c r="AF185" s="357"/>
      <c r="AG185" s="357"/>
      <c r="AH185" s="357"/>
      <c r="AI185" s="357"/>
      <c r="AJ185" s="357"/>
      <c r="AK185" s="357"/>
      <c r="AL185" s="357"/>
      <c r="AM185" s="357"/>
      <c r="AN185" s="357"/>
      <c r="AO185" s="357"/>
      <c r="AP185" s="357"/>
      <c r="AQ185" s="357"/>
      <c r="AR185" s="357"/>
      <c r="AS185" s="357"/>
      <c r="AT185" s="357"/>
      <c r="AU185" s="357"/>
      <c r="AV185" s="357"/>
      <c r="AW185" s="357"/>
      <c r="AX185" s="357"/>
      <c r="AY185" s="357"/>
      <c r="AZ185" s="357"/>
      <c r="BA185" s="357"/>
      <c r="BB185" s="357"/>
      <c r="BC185" s="357"/>
      <c r="BD185" s="357"/>
    </row>
    <row r="186" spans="1:56">
      <c r="A186" s="1046"/>
      <c r="B186" s="274" t="s">
        <v>146</v>
      </c>
      <c r="C186" s="579"/>
      <c r="D186" s="580"/>
      <c r="E186" s="581"/>
      <c r="F186" s="579"/>
      <c r="G186" s="580"/>
      <c r="H186" s="581"/>
      <c r="I186" s="579"/>
      <c r="J186" s="580"/>
      <c r="K186" s="581"/>
      <c r="L186" s="579"/>
      <c r="M186" s="580"/>
      <c r="N186" s="586">
        <v>6</v>
      </c>
      <c r="O186" s="575">
        <f t="shared" si="9"/>
        <v>6</v>
      </c>
      <c r="P186" s="455">
        <f t="shared" si="10"/>
        <v>6</v>
      </c>
      <c r="Q186" s="455">
        <f t="shared" si="11"/>
        <v>6</v>
      </c>
      <c r="R186" s="455">
        <f t="shared" si="12"/>
        <v>6</v>
      </c>
      <c r="S186" s="402">
        <v>0.05</v>
      </c>
      <c r="T186" s="589">
        <v>0.25</v>
      </c>
      <c r="U186" s="378">
        <v>0.25</v>
      </c>
      <c r="V186" s="378">
        <v>0.25</v>
      </c>
      <c r="W186" s="380">
        <v>0.25</v>
      </c>
      <c r="X186" s="357"/>
      <c r="Y186" s="357"/>
      <c r="Z186" s="357"/>
      <c r="AA186" s="357"/>
      <c r="AB186" s="357"/>
      <c r="AC186" s="357"/>
      <c r="AD186" s="357"/>
      <c r="AE186" s="357"/>
      <c r="AF186" s="357"/>
      <c r="AG186" s="357"/>
      <c r="AH186" s="357"/>
      <c r="AI186" s="357"/>
      <c r="AJ186" s="357"/>
      <c r="AK186" s="357"/>
      <c r="AL186" s="357"/>
      <c r="AM186" s="357"/>
      <c r="AN186" s="357"/>
      <c r="AO186" s="357"/>
      <c r="AP186" s="357"/>
      <c r="AQ186" s="357"/>
      <c r="AR186" s="357"/>
      <c r="AS186" s="357"/>
      <c r="AT186" s="357"/>
      <c r="AU186" s="357"/>
      <c r="AV186" s="357"/>
      <c r="AW186" s="357"/>
      <c r="AX186" s="357"/>
      <c r="AY186" s="357"/>
      <c r="AZ186" s="357"/>
      <c r="BA186" s="357"/>
      <c r="BB186" s="357"/>
      <c r="BC186" s="357"/>
      <c r="BD186" s="357"/>
    </row>
    <row r="187" spans="1:56">
      <c r="A187" s="1046"/>
      <c r="B187" s="275" t="s">
        <v>147</v>
      </c>
      <c r="C187" s="579"/>
      <c r="D187" s="580"/>
      <c r="E187" s="581"/>
      <c r="F187" s="579"/>
      <c r="G187" s="580"/>
      <c r="H187" s="581"/>
      <c r="I187" s="579"/>
      <c r="J187" s="580"/>
      <c r="K187" s="581"/>
      <c r="L187" s="579"/>
      <c r="M187" s="580"/>
      <c r="N187" s="586">
        <v>70</v>
      </c>
      <c r="O187" s="575">
        <f t="shared" si="9"/>
        <v>74</v>
      </c>
      <c r="P187" s="455">
        <f t="shared" si="10"/>
        <v>74</v>
      </c>
      <c r="Q187" s="455">
        <f t="shared" si="11"/>
        <v>74</v>
      </c>
      <c r="R187" s="455">
        <f t="shared" si="12"/>
        <v>74</v>
      </c>
      <c r="S187" s="402">
        <v>0.05</v>
      </c>
      <c r="T187" s="589">
        <v>0.15</v>
      </c>
      <c r="U187" s="378">
        <v>0.15</v>
      </c>
      <c r="V187" s="378">
        <v>0.15</v>
      </c>
      <c r="W187" s="380">
        <v>0.15</v>
      </c>
      <c r="X187" s="357"/>
      <c r="Y187" s="357"/>
      <c r="Z187" s="357"/>
      <c r="AA187" s="357"/>
      <c r="AB187" s="357"/>
      <c r="AC187" s="357"/>
      <c r="AD187" s="357"/>
      <c r="AE187" s="357"/>
      <c r="AF187" s="357"/>
      <c r="AG187" s="357"/>
      <c r="AH187" s="357"/>
      <c r="AI187" s="357"/>
      <c r="AJ187" s="357"/>
      <c r="AK187" s="357"/>
      <c r="AL187" s="357"/>
      <c r="AM187" s="357"/>
      <c r="AN187" s="357"/>
      <c r="AO187" s="357"/>
      <c r="AP187" s="357"/>
      <c r="AQ187" s="357"/>
      <c r="AR187" s="357"/>
      <c r="AS187" s="357"/>
      <c r="AT187" s="357"/>
      <c r="AU187" s="357"/>
      <c r="AV187" s="357"/>
      <c r="AW187" s="357"/>
      <c r="AX187" s="357"/>
      <c r="AY187" s="357"/>
      <c r="AZ187" s="357"/>
      <c r="BA187" s="357"/>
      <c r="BB187" s="357"/>
      <c r="BC187" s="357"/>
      <c r="BD187" s="357"/>
    </row>
    <row r="188" spans="1:56">
      <c r="A188" s="1046"/>
      <c r="B188" s="274" t="s">
        <v>148</v>
      </c>
      <c r="C188" s="579"/>
      <c r="D188" s="580"/>
      <c r="E188" s="581"/>
      <c r="F188" s="579"/>
      <c r="G188" s="580"/>
      <c r="H188" s="581"/>
      <c r="I188" s="579"/>
      <c r="J188" s="580"/>
      <c r="K188" s="581"/>
      <c r="L188" s="579"/>
      <c r="M188" s="580"/>
      <c r="N188" s="586">
        <v>82</v>
      </c>
      <c r="O188" s="575">
        <f t="shared" si="9"/>
        <v>86</v>
      </c>
      <c r="P188" s="455">
        <f t="shared" si="10"/>
        <v>86</v>
      </c>
      <c r="Q188" s="455">
        <f t="shared" si="11"/>
        <v>86</v>
      </c>
      <c r="R188" s="455">
        <f t="shared" si="12"/>
        <v>86</v>
      </c>
      <c r="S188" s="402">
        <v>0.05</v>
      </c>
      <c r="T188" s="589">
        <v>0.25</v>
      </c>
      <c r="U188" s="378">
        <v>0.1</v>
      </c>
      <c r="V188" s="378">
        <v>0.1</v>
      </c>
      <c r="W188" s="380">
        <v>0.1</v>
      </c>
      <c r="X188" s="357"/>
      <c r="Y188" s="357"/>
      <c r="Z188" s="357"/>
      <c r="AA188" s="357"/>
      <c r="AB188" s="357"/>
      <c r="AC188" s="357"/>
      <c r="AD188" s="357"/>
      <c r="AE188" s="357"/>
      <c r="AF188" s="357"/>
      <c r="AG188" s="357"/>
      <c r="AH188" s="357"/>
      <c r="AI188" s="357"/>
      <c r="AJ188" s="357"/>
      <c r="AK188" s="357"/>
      <c r="AL188" s="357"/>
      <c r="AM188" s="357"/>
      <c r="AN188" s="357"/>
      <c r="AO188" s="357"/>
      <c r="AP188" s="357"/>
      <c r="AQ188" s="357"/>
      <c r="AR188" s="357"/>
      <c r="AS188" s="357"/>
      <c r="AT188" s="357"/>
      <c r="AU188" s="357"/>
      <c r="AV188" s="357"/>
      <c r="AW188" s="357"/>
      <c r="AX188" s="357"/>
      <c r="AY188" s="357"/>
      <c r="AZ188" s="357"/>
      <c r="BA188" s="357"/>
      <c r="BB188" s="357"/>
      <c r="BC188" s="357"/>
      <c r="BD188" s="357"/>
    </row>
    <row r="189" spans="1:56">
      <c r="A189" s="1046"/>
      <c r="B189" s="274" t="s">
        <v>149</v>
      </c>
      <c r="C189" s="579"/>
      <c r="D189" s="580"/>
      <c r="E189" s="581"/>
      <c r="F189" s="579"/>
      <c r="G189" s="580"/>
      <c r="H189" s="581"/>
      <c r="I189" s="579"/>
      <c r="J189" s="580"/>
      <c r="K189" s="581"/>
      <c r="L189" s="579"/>
      <c r="M189" s="580"/>
      <c r="N189" s="586">
        <v>82</v>
      </c>
      <c r="O189" s="575">
        <f t="shared" si="9"/>
        <v>86</v>
      </c>
      <c r="P189" s="455">
        <f t="shared" si="10"/>
        <v>86</v>
      </c>
      <c r="Q189" s="455">
        <f t="shared" si="11"/>
        <v>86</v>
      </c>
      <c r="R189" s="455">
        <f t="shared" si="12"/>
        <v>86</v>
      </c>
      <c r="S189" s="402">
        <v>0.05</v>
      </c>
      <c r="T189" s="589">
        <v>0.15</v>
      </c>
      <c r="U189" s="378">
        <v>0.15</v>
      </c>
      <c r="V189" s="378">
        <v>0.15</v>
      </c>
      <c r="W189" s="380">
        <v>0.15</v>
      </c>
      <c r="X189" s="357"/>
      <c r="Y189" s="357"/>
      <c r="Z189" s="357"/>
      <c r="AA189" s="357"/>
      <c r="AB189" s="357"/>
      <c r="AC189" s="357"/>
      <c r="AD189" s="357"/>
      <c r="AE189" s="357"/>
      <c r="AF189" s="357"/>
      <c r="AG189" s="357"/>
      <c r="AH189" s="357"/>
      <c r="AI189" s="357"/>
      <c r="AJ189" s="357"/>
      <c r="AK189" s="357"/>
      <c r="AL189" s="357"/>
      <c r="AM189" s="357"/>
      <c r="AN189" s="357"/>
      <c r="AO189" s="357"/>
      <c r="AP189" s="357"/>
      <c r="AQ189" s="357"/>
      <c r="AR189" s="357"/>
      <c r="AS189" s="357"/>
      <c r="AT189" s="357"/>
      <c r="AU189" s="357"/>
      <c r="AV189" s="357"/>
      <c r="AW189" s="357"/>
      <c r="AX189" s="357"/>
      <c r="AY189" s="357"/>
      <c r="AZ189" s="357"/>
      <c r="BA189" s="357"/>
      <c r="BB189" s="357"/>
      <c r="BC189" s="357"/>
      <c r="BD189" s="357"/>
    </row>
    <row r="190" spans="1:56">
      <c r="A190" s="1046"/>
      <c r="B190" s="274" t="s">
        <v>150</v>
      </c>
      <c r="C190" s="579"/>
      <c r="D190" s="580"/>
      <c r="E190" s="581"/>
      <c r="F190" s="579"/>
      <c r="G190" s="580"/>
      <c r="H190" s="581"/>
      <c r="I190" s="579"/>
      <c r="J190" s="580"/>
      <c r="K190" s="581"/>
      <c r="L190" s="579"/>
      <c r="M190" s="580"/>
      <c r="N190" s="586">
        <v>30</v>
      </c>
      <c r="O190" s="575">
        <f t="shared" si="9"/>
        <v>32</v>
      </c>
      <c r="P190" s="455">
        <f t="shared" si="10"/>
        <v>32</v>
      </c>
      <c r="Q190" s="455">
        <f t="shared" si="11"/>
        <v>32</v>
      </c>
      <c r="R190" s="455">
        <f t="shared" si="12"/>
        <v>32</v>
      </c>
      <c r="S190" s="402">
        <v>0.05</v>
      </c>
      <c r="T190" s="589">
        <v>0.2</v>
      </c>
      <c r="U190" s="378">
        <v>0.1</v>
      </c>
      <c r="V190" s="378">
        <v>0.2</v>
      </c>
      <c r="W190" s="380">
        <v>0.2</v>
      </c>
      <c r="X190" s="357"/>
      <c r="Y190" s="357"/>
      <c r="Z190" s="357"/>
      <c r="AA190" s="357"/>
      <c r="AB190" s="357"/>
      <c r="AC190" s="357"/>
      <c r="AD190" s="357"/>
      <c r="AE190" s="357"/>
      <c r="AF190" s="357"/>
      <c r="AG190" s="357"/>
      <c r="AH190" s="357"/>
      <c r="AI190" s="357"/>
      <c r="AJ190" s="357"/>
      <c r="AK190" s="357"/>
      <c r="AL190" s="357"/>
      <c r="AM190" s="357"/>
      <c r="AN190" s="357"/>
      <c r="AO190" s="357"/>
      <c r="AP190" s="357"/>
      <c r="AQ190" s="357"/>
      <c r="AR190" s="357"/>
      <c r="AS190" s="357"/>
      <c r="AT190" s="357"/>
      <c r="AU190" s="357"/>
      <c r="AV190" s="357"/>
      <c r="AW190" s="357"/>
      <c r="AX190" s="357"/>
      <c r="AY190" s="357"/>
      <c r="AZ190" s="357"/>
      <c r="BA190" s="357"/>
      <c r="BB190" s="357"/>
      <c r="BC190" s="357"/>
      <c r="BD190" s="357"/>
    </row>
    <row r="191" spans="1:56">
      <c r="A191" s="1046"/>
      <c r="B191" s="274" t="s">
        <v>151</v>
      </c>
      <c r="C191" s="579"/>
      <c r="D191" s="580"/>
      <c r="E191" s="581"/>
      <c r="F191" s="579"/>
      <c r="G191" s="580"/>
      <c r="H191" s="581"/>
      <c r="I191" s="579"/>
      <c r="J191" s="580"/>
      <c r="K191" s="581"/>
      <c r="L191" s="579"/>
      <c r="M191" s="580"/>
      <c r="N191" s="586">
        <v>12</v>
      </c>
      <c r="O191" s="575">
        <f t="shared" si="9"/>
        <v>13</v>
      </c>
      <c r="P191" s="455">
        <f t="shared" si="10"/>
        <v>13</v>
      </c>
      <c r="Q191" s="455">
        <f t="shared" si="11"/>
        <v>13</v>
      </c>
      <c r="R191" s="455">
        <f t="shared" si="12"/>
        <v>13</v>
      </c>
      <c r="S191" s="402">
        <v>0.05</v>
      </c>
      <c r="T191" s="589">
        <v>0.25</v>
      </c>
      <c r="U191" s="378">
        <v>0.14000000000000001</v>
      </c>
      <c r="V191" s="378">
        <v>0.25</v>
      </c>
      <c r="W191" s="380">
        <v>0.25</v>
      </c>
      <c r="X191" s="357"/>
      <c r="Y191" s="357"/>
      <c r="Z191" s="357"/>
      <c r="AA191" s="357"/>
      <c r="AB191" s="357"/>
      <c r="AC191" s="357"/>
      <c r="AD191" s="357"/>
      <c r="AE191" s="357"/>
      <c r="AF191" s="357"/>
      <c r="AG191" s="357"/>
      <c r="AH191" s="357"/>
      <c r="AI191" s="357"/>
      <c r="AJ191" s="357"/>
      <c r="AK191" s="357"/>
      <c r="AL191" s="357"/>
      <c r="AM191" s="357"/>
      <c r="AN191" s="357"/>
      <c r="AO191" s="357"/>
      <c r="AP191" s="357"/>
      <c r="AQ191" s="357"/>
      <c r="AR191" s="357"/>
      <c r="AS191" s="357"/>
      <c r="AT191" s="357"/>
      <c r="AU191" s="357"/>
      <c r="AV191" s="357"/>
      <c r="AW191" s="357"/>
      <c r="AX191" s="357"/>
      <c r="AY191" s="357"/>
      <c r="AZ191" s="357"/>
      <c r="BA191" s="357"/>
      <c r="BB191" s="357"/>
      <c r="BC191" s="357"/>
      <c r="BD191" s="357"/>
    </row>
    <row r="192" spans="1:56">
      <c r="A192" s="1046"/>
      <c r="B192" s="274" t="s">
        <v>152</v>
      </c>
      <c r="C192" s="579"/>
      <c r="D192" s="580"/>
      <c r="E192" s="581"/>
      <c r="F192" s="579"/>
      <c r="G192" s="580"/>
      <c r="H192" s="581"/>
      <c r="I192" s="579"/>
      <c r="J192" s="580"/>
      <c r="K192" s="581"/>
      <c r="L192" s="579"/>
      <c r="M192" s="580"/>
      <c r="N192" s="586">
        <v>95</v>
      </c>
      <c r="O192" s="575">
        <f t="shared" si="9"/>
        <v>100</v>
      </c>
      <c r="P192" s="455">
        <f t="shared" si="10"/>
        <v>100</v>
      </c>
      <c r="Q192" s="455">
        <f t="shared" si="11"/>
        <v>100</v>
      </c>
      <c r="R192" s="455">
        <f t="shared" si="12"/>
        <v>100</v>
      </c>
      <c r="S192" s="402">
        <v>0.05</v>
      </c>
      <c r="T192" s="589">
        <v>0.15</v>
      </c>
      <c r="U192" s="378">
        <v>0.15</v>
      </c>
      <c r="V192" s="378">
        <v>0.15</v>
      </c>
      <c r="W192" s="380">
        <v>0.15</v>
      </c>
      <c r="X192" s="357"/>
      <c r="Y192" s="357"/>
      <c r="Z192" s="357"/>
      <c r="AA192" s="357"/>
      <c r="AB192" s="357"/>
      <c r="AC192" s="357"/>
      <c r="AD192" s="357"/>
      <c r="AE192" s="357"/>
      <c r="AF192" s="357"/>
      <c r="AG192" s="357"/>
      <c r="AH192" s="357"/>
      <c r="AI192" s="357"/>
      <c r="AJ192" s="357"/>
      <c r="AK192" s="357"/>
      <c r="AL192" s="357"/>
      <c r="AM192" s="357"/>
      <c r="AN192" s="357"/>
      <c r="AO192" s="357"/>
      <c r="AP192" s="357"/>
      <c r="AQ192" s="357"/>
      <c r="AR192" s="357"/>
      <c r="AS192" s="357"/>
      <c r="AT192" s="357"/>
      <c r="AU192" s="357"/>
      <c r="AV192" s="357"/>
      <c r="AW192" s="357"/>
      <c r="AX192" s="357"/>
      <c r="AY192" s="357"/>
      <c r="AZ192" s="357"/>
      <c r="BA192" s="357"/>
      <c r="BB192" s="357"/>
      <c r="BC192" s="357"/>
      <c r="BD192" s="357"/>
    </row>
    <row r="193" spans="1:56">
      <c r="A193" s="1046"/>
      <c r="B193" s="274" t="s">
        <v>153</v>
      </c>
      <c r="C193" s="579"/>
      <c r="D193" s="580"/>
      <c r="E193" s="581"/>
      <c r="F193" s="579"/>
      <c r="G193" s="580"/>
      <c r="H193" s="581"/>
      <c r="I193" s="579"/>
      <c r="J193" s="580"/>
      <c r="K193" s="581"/>
      <c r="L193" s="579"/>
      <c r="M193" s="580"/>
      <c r="N193" s="586">
        <v>80</v>
      </c>
      <c r="O193" s="575">
        <f t="shared" si="9"/>
        <v>84</v>
      </c>
      <c r="P193" s="455">
        <f t="shared" si="10"/>
        <v>84</v>
      </c>
      <c r="Q193" s="455">
        <f t="shared" si="11"/>
        <v>84</v>
      </c>
      <c r="R193" s="455">
        <f t="shared" si="12"/>
        <v>84</v>
      </c>
      <c r="S193" s="402">
        <v>0.05</v>
      </c>
      <c r="T193" s="589">
        <v>0.2</v>
      </c>
      <c r="U193" s="378">
        <v>0.1</v>
      </c>
      <c r="V193" s="378">
        <v>0.1</v>
      </c>
      <c r="W193" s="380">
        <v>0.1</v>
      </c>
      <c r="X193" s="357"/>
      <c r="Y193" s="357"/>
      <c r="Z193" s="357"/>
      <c r="AA193" s="357"/>
      <c r="AB193" s="357"/>
      <c r="AC193" s="357"/>
      <c r="AD193" s="357"/>
      <c r="AE193" s="357"/>
      <c r="AF193" s="357"/>
      <c r="AG193" s="357"/>
      <c r="AH193" s="357"/>
      <c r="AI193" s="357"/>
      <c r="AJ193" s="357"/>
      <c r="AK193" s="357"/>
      <c r="AL193" s="357"/>
      <c r="AM193" s="357"/>
      <c r="AN193" s="357"/>
      <c r="AO193" s="357"/>
      <c r="AP193" s="357"/>
      <c r="AQ193" s="357"/>
      <c r="AR193" s="357"/>
      <c r="AS193" s="357"/>
      <c r="AT193" s="357"/>
      <c r="AU193" s="357"/>
      <c r="AV193" s="357"/>
      <c r="AW193" s="357"/>
      <c r="AX193" s="357"/>
      <c r="AY193" s="357"/>
      <c r="AZ193" s="357"/>
      <c r="BA193" s="357"/>
      <c r="BB193" s="357"/>
      <c r="BC193" s="357"/>
      <c r="BD193" s="357"/>
    </row>
    <row r="194" spans="1:56">
      <c r="A194" s="1046"/>
      <c r="B194" s="274" t="s">
        <v>154</v>
      </c>
      <c r="C194" s="579"/>
      <c r="D194" s="580"/>
      <c r="E194" s="581"/>
      <c r="F194" s="579"/>
      <c r="G194" s="580"/>
      <c r="H194" s="581"/>
      <c r="I194" s="579"/>
      <c r="J194" s="580"/>
      <c r="K194" s="581"/>
      <c r="L194" s="579"/>
      <c r="M194" s="580"/>
      <c r="N194" s="586">
        <v>130</v>
      </c>
      <c r="O194" s="575">
        <f t="shared" si="9"/>
        <v>137</v>
      </c>
      <c r="P194" s="455">
        <f t="shared" si="10"/>
        <v>137</v>
      </c>
      <c r="Q194" s="455">
        <f t="shared" si="11"/>
        <v>137</v>
      </c>
      <c r="R194" s="455">
        <f t="shared" si="12"/>
        <v>137</v>
      </c>
      <c r="S194" s="402">
        <v>0.05</v>
      </c>
      <c r="T194" s="589">
        <v>0.15</v>
      </c>
      <c r="U194" s="378">
        <v>0.15</v>
      </c>
      <c r="V194" s="378">
        <v>0.15</v>
      </c>
      <c r="W194" s="380">
        <v>0.15</v>
      </c>
      <c r="X194" s="357"/>
      <c r="Y194" s="357"/>
      <c r="Z194" s="357"/>
      <c r="AA194" s="357"/>
      <c r="AB194" s="357"/>
      <c r="AC194" s="357"/>
      <c r="AD194" s="357"/>
      <c r="AE194" s="357"/>
      <c r="AF194" s="357"/>
      <c r="AG194" s="357"/>
      <c r="AH194" s="357"/>
      <c r="AI194" s="357"/>
      <c r="AJ194" s="357"/>
      <c r="AK194" s="357"/>
      <c r="AL194" s="357"/>
      <c r="AM194" s="357"/>
      <c r="AN194" s="357"/>
      <c r="AO194" s="357"/>
      <c r="AP194" s="357"/>
      <c r="AQ194" s="357"/>
      <c r="AR194" s="357"/>
      <c r="AS194" s="357"/>
      <c r="AT194" s="357"/>
      <c r="AU194" s="357"/>
      <c r="AV194" s="357"/>
      <c r="AW194" s="357"/>
      <c r="AX194" s="357"/>
      <c r="AY194" s="357"/>
      <c r="AZ194" s="357"/>
      <c r="BA194" s="357"/>
      <c r="BB194" s="357"/>
      <c r="BC194" s="357"/>
      <c r="BD194" s="357"/>
    </row>
    <row r="195" spans="1:56" ht="16.5" thickBot="1">
      <c r="A195" s="1047"/>
      <c r="B195" s="278" t="s">
        <v>155</v>
      </c>
      <c r="C195" s="582"/>
      <c r="D195" s="583"/>
      <c r="E195" s="584"/>
      <c r="F195" s="582"/>
      <c r="G195" s="583"/>
      <c r="H195" s="584"/>
      <c r="I195" s="582"/>
      <c r="J195" s="583"/>
      <c r="K195" s="584"/>
      <c r="L195" s="582"/>
      <c r="M195" s="583"/>
      <c r="N195" s="587">
        <v>100</v>
      </c>
      <c r="O195" s="575">
        <f t="shared" si="9"/>
        <v>105</v>
      </c>
      <c r="P195" s="455">
        <f t="shared" si="10"/>
        <v>105</v>
      </c>
      <c r="Q195" s="455">
        <f t="shared" si="11"/>
        <v>105</v>
      </c>
      <c r="R195" s="455">
        <f t="shared" si="12"/>
        <v>105</v>
      </c>
      <c r="S195" s="402">
        <v>0.05</v>
      </c>
      <c r="T195" s="589">
        <v>0.2</v>
      </c>
      <c r="U195" s="378">
        <v>0.12</v>
      </c>
      <c r="V195" s="378">
        <v>0.2</v>
      </c>
      <c r="W195" s="380">
        <v>0.2</v>
      </c>
      <c r="X195" s="357"/>
      <c r="Y195" s="357"/>
      <c r="Z195" s="357"/>
      <c r="AA195" s="357"/>
      <c r="AB195" s="357"/>
      <c r="AC195" s="357"/>
      <c r="AD195" s="357"/>
      <c r="AE195" s="357"/>
      <c r="AF195" s="357"/>
      <c r="AG195" s="357"/>
      <c r="AH195" s="357"/>
      <c r="AI195" s="357"/>
      <c r="AJ195" s="357"/>
      <c r="AK195" s="357"/>
      <c r="AL195" s="357"/>
      <c r="AM195" s="357"/>
      <c r="AN195" s="357"/>
      <c r="AO195" s="357"/>
      <c r="AP195" s="357"/>
      <c r="AQ195" s="357"/>
      <c r="AR195" s="357"/>
      <c r="AS195" s="357"/>
      <c r="AT195" s="357"/>
      <c r="AU195" s="357"/>
      <c r="AV195" s="357"/>
      <c r="AW195" s="357"/>
      <c r="AX195" s="357"/>
      <c r="AY195" s="357"/>
      <c r="AZ195" s="357"/>
      <c r="BA195" s="357"/>
      <c r="BB195" s="357"/>
      <c r="BC195" s="357"/>
      <c r="BD195" s="357"/>
    </row>
    <row r="196" spans="1:56">
      <c r="A196" s="1045" t="s">
        <v>156</v>
      </c>
      <c r="B196" s="277" t="s">
        <v>157</v>
      </c>
      <c r="C196" s="576"/>
      <c r="D196" s="577"/>
      <c r="E196" s="578"/>
      <c r="F196" s="576"/>
      <c r="G196" s="577"/>
      <c r="H196" s="578"/>
      <c r="I196" s="576"/>
      <c r="J196" s="577"/>
      <c r="K196" s="578"/>
      <c r="L196" s="576"/>
      <c r="M196" s="577"/>
      <c r="N196" s="585">
        <v>815</v>
      </c>
      <c r="O196" s="575">
        <f t="shared" si="9"/>
        <v>856</v>
      </c>
      <c r="P196" s="455">
        <f t="shared" si="10"/>
        <v>856</v>
      </c>
      <c r="Q196" s="455">
        <f t="shared" si="11"/>
        <v>856</v>
      </c>
      <c r="R196" s="455">
        <f t="shared" si="12"/>
        <v>856</v>
      </c>
      <c r="S196" s="402">
        <v>0.05</v>
      </c>
      <c r="T196" s="589">
        <v>0.25</v>
      </c>
      <c r="U196" s="378">
        <v>0.15</v>
      </c>
      <c r="V196" s="378">
        <v>0.25</v>
      </c>
      <c r="W196" s="380">
        <v>0.25</v>
      </c>
      <c r="X196" s="357"/>
      <c r="Y196" s="357"/>
      <c r="Z196" s="357"/>
      <c r="AA196" s="357"/>
      <c r="AB196" s="357"/>
      <c r="AC196" s="357"/>
      <c r="AD196" s="357"/>
      <c r="AE196" s="357"/>
      <c r="AF196" s="357"/>
      <c r="AG196" s="357"/>
      <c r="AH196" s="357"/>
      <c r="AI196" s="357"/>
      <c r="AJ196" s="357"/>
      <c r="AK196" s="357"/>
      <c r="AL196" s="357"/>
      <c r="AM196" s="357"/>
      <c r="AN196" s="357"/>
      <c r="AO196" s="357"/>
      <c r="AP196" s="357"/>
      <c r="AQ196" s="357"/>
      <c r="AR196" s="357"/>
      <c r="AS196" s="357"/>
      <c r="AT196" s="357"/>
      <c r="AU196" s="357"/>
      <c r="AV196" s="357"/>
      <c r="AW196" s="357"/>
      <c r="AX196" s="357"/>
      <c r="AY196" s="357"/>
      <c r="AZ196" s="357"/>
      <c r="BA196" s="357"/>
      <c r="BB196" s="357"/>
      <c r="BC196" s="357"/>
      <c r="BD196" s="357"/>
    </row>
    <row r="197" spans="1:56">
      <c r="A197" s="1046"/>
      <c r="B197" s="274" t="s">
        <v>158</v>
      </c>
      <c r="C197" s="579"/>
      <c r="D197" s="580"/>
      <c r="E197" s="581"/>
      <c r="F197" s="579"/>
      <c r="G197" s="580"/>
      <c r="H197" s="581"/>
      <c r="I197" s="579"/>
      <c r="J197" s="580"/>
      <c r="K197" s="581"/>
      <c r="L197" s="579"/>
      <c r="M197" s="580"/>
      <c r="N197" s="586">
        <v>850</v>
      </c>
      <c r="O197" s="575">
        <f t="shared" si="9"/>
        <v>893</v>
      </c>
      <c r="P197" s="455">
        <f t="shared" si="10"/>
        <v>893</v>
      </c>
      <c r="Q197" s="455">
        <f t="shared" si="11"/>
        <v>893</v>
      </c>
      <c r="R197" s="455">
        <f t="shared" si="12"/>
        <v>893</v>
      </c>
      <c r="S197" s="402">
        <v>0.05</v>
      </c>
      <c r="T197" s="589">
        <v>0.15</v>
      </c>
      <c r="U197" s="378">
        <v>0.15</v>
      </c>
      <c r="V197" s="378">
        <v>0.15</v>
      </c>
      <c r="W197" s="380">
        <v>0.15</v>
      </c>
      <c r="X197" s="357"/>
      <c r="Y197" s="357"/>
      <c r="Z197" s="357"/>
      <c r="AA197" s="357"/>
      <c r="AB197" s="357"/>
      <c r="AC197" s="357"/>
      <c r="AD197" s="357"/>
      <c r="AE197" s="357"/>
      <c r="AF197" s="357"/>
      <c r="AG197" s="357"/>
      <c r="AH197" s="357"/>
      <c r="AI197" s="357"/>
      <c r="AJ197" s="357"/>
      <c r="AK197" s="357"/>
      <c r="AL197" s="357"/>
      <c r="AM197" s="357"/>
      <c r="AN197" s="357"/>
      <c r="AO197" s="357"/>
      <c r="AP197" s="357"/>
      <c r="AQ197" s="357"/>
      <c r="AR197" s="357"/>
      <c r="AS197" s="357"/>
      <c r="AT197" s="357"/>
      <c r="AU197" s="357"/>
      <c r="AV197" s="357"/>
      <c r="AW197" s="357"/>
      <c r="AX197" s="357"/>
      <c r="AY197" s="357"/>
      <c r="AZ197" s="357"/>
      <c r="BA197" s="357"/>
      <c r="BB197" s="357"/>
      <c r="BC197" s="357"/>
      <c r="BD197" s="357"/>
    </row>
    <row r="198" spans="1:56">
      <c r="A198" s="1046"/>
      <c r="B198" s="274" t="s">
        <v>159</v>
      </c>
      <c r="C198" s="579"/>
      <c r="D198" s="580"/>
      <c r="E198" s="581"/>
      <c r="F198" s="579"/>
      <c r="G198" s="580"/>
      <c r="H198" s="581"/>
      <c r="I198" s="579"/>
      <c r="J198" s="580"/>
      <c r="K198" s="581"/>
      <c r="L198" s="579"/>
      <c r="M198" s="580"/>
      <c r="N198" s="586">
        <v>900</v>
      </c>
      <c r="O198" s="575">
        <f t="shared" si="9"/>
        <v>945</v>
      </c>
      <c r="P198" s="455">
        <f t="shared" si="10"/>
        <v>945</v>
      </c>
      <c r="Q198" s="455">
        <f t="shared" si="11"/>
        <v>945</v>
      </c>
      <c r="R198" s="455">
        <f t="shared" si="12"/>
        <v>945</v>
      </c>
      <c r="S198" s="402">
        <v>0.05</v>
      </c>
      <c r="T198" s="589">
        <v>0.2</v>
      </c>
      <c r="U198" s="378">
        <v>0.1</v>
      </c>
      <c r="V198" s="378">
        <v>0.2</v>
      </c>
      <c r="W198" s="380">
        <v>0.2</v>
      </c>
      <c r="X198" s="357"/>
      <c r="Y198" s="357"/>
      <c r="Z198" s="357"/>
      <c r="AA198" s="357"/>
      <c r="AB198" s="357"/>
      <c r="AC198" s="357"/>
      <c r="AD198" s="357"/>
      <c r="AE198" s="357"/>
      <c r="AF198" s="357"/>
      <c r="AG198" s="357"/>
      <c r="AH198" s="357"/>
      <c r="AI198" s="357"/>
      <c r="AJ198" s="357"/>
      <c r="AK198" s="357"/>
      <c r="AL198" s="357"/>
      <c r="AM198" s="357"/>
      <c r="AN198" s="357"/>
      <c r="AO198" s="357"/>
      <c r="AP198" s="357"/>
      <c r="AQ198" s="357"/>
      <c r="AR198" s="357"/>
      <c r="AS198" s="357"/>
      <c r="AT198" s="357"/>
      <c r="AU198" s="357"/>
      <c r="AV198" s="357"/>
      <c r="AW198" s="357"/>
      <c r="AX198" s="357"/>
      <c r="AY198" s="357"/>
      <c r="AZ198" s="357"/>
      <c r="BA198" s="357"/>
      <c r="BB198" s="357"/>
      <c r="BC198" s="357"/>
      <c r="BD198" s="357"/>
    </row>
    <row r="199" spans="1:56">
      <c r="A199" s="1046"/>
      <c r="B199" s="274" t="s">
        <v>160</v>
      </c>
      <c r="C199" s="579"/>
      <c r="D199" s="580"/>
      <c r="E199" s="581"/>
      <c r="F199" s="579"/>
      <c r="G199" s="580"/>
      <c r="H199" s="581"/>
      <c r="I199" s="579"/>
      <c r="J199" s="580"/>
      <c r="K199" s="581"/>
      <c r="L199" s="579"/>
      <c r="M199" s="580"/>
      <c r="N199" s="586">
        <v>4500</v>
      </c>
      <c r="O199" s="575">
        <f t="shared" si="9"/>
        <v>4725</v>
      </c>
      <c r="P199" s="455">
        <f t="shared" si="10"/>
        <v>4725</v>
      </c>
      <c r="Q199" s="455">
        <f t="shared" si="11"/>
        <v>4725</v>
      </c>
      <c r="R199" s="455">
        <f t="shared" si="12"/>
        <v>4725</v>
      </c>
      <c r="S199" s="402">
        <v>0.05</v>
      </c>
      <c r="T199" s="589">
        <v>0.1</v>
      </c>
      <c r="U199" s="378">
        <v>0.08</v>
      </c>
      <c r="V199" s="378">
        <v>0.1</v>
      </c>
      <c r="W199" s="380">
        <v>0.1</v>
      </c>
      <c r="X199" s="357"/>
      <c r="Y199" s="357"/>
      <c r="Z199" s="357"/>
      <c r="AA199" s="357"/>
      <c r="AB199" s="357"/>
      <c r="AC199" s="357"/>
      <c r="AD199" s="357"/>
      <c r="AE199" s="357"/>
      <c r="AF199" s="357"/>
      <c r="AG199" s="357"/>
      <c r="AH199" s="357"/>
      <c r="AI199" s="357"/>
      <c r="AJ199" s="357"/>
      <c r="AK199" s="357"/>
      <c r="AL199" s="357"/>
      <c r="AM199" s="357"/>
      <c r="AN199" s="357"/>
      <c r="AO199" s="357"/>
      <c r="AP199" s="357"/>
      <c r="AQ199" s="357"/>
      <c r="AR199" s="357"/>
      <c r="AS199" s="357"/>
      <c r="AT199" s="357"/>
      <c r="AU199" s="357"/>
      <c r="AV199" s="357"/>
      <c r="AW199" s="357"/>
      <c r="AX199" s="357"/>
      <c r="AY199" s="357"/>
      <c r="AZ199" s="357"/>
      <c r="BA199" s="357"/>
      <c r="BB199" s="357"/>
      <c r="BC199" s="357"/>
      <c r="BD199" s="357"/>
    </row>
    <row r="200" spans="1:56">
      <c r="A200" s="1046"/>
      <c r="B200" s="274" t="s">
        <v>161</v>
      </c>
      <c r="C200" s="579"/>
      <c r="D200" s="580"/>
      <c r="E200" s="581"/>
      <c r="F200" s="579"/>
      <c r="G200" s="580"/>
      <c r="H200" s="581"/>
      <c r="I200" s="579"/>
      <c r="J200" s="580"/>
      <c r="K200" s="581"/>
      <c r="L200" s="579"/>
      <c r="M200" s="580"/>
      <c r="N200" s="586">
        <v>1450</v>
      </c>
      <c r="O200" s="575">
        <f t="shared" si="9"/>
        <v>1523</v>
      </c>
      <c r="P200" s="455">
        <f t="shared" si="10"/>
        <v>1523</v>
      </c>
      <c r="Q200" s="455">
        <f t="shared" si="11"/>
        <v>1523</v>
      </c>
      <c r="R200" s="455">
        <f t="shared" si="12"/>
        <v>1523</v>
      </c>
      <c r="S200" s="402">
        <v>0.05</v>
      </c>
      <c r="T200" s="589">
        <v>0.25</v>
      </c>
      <c r="U200" s="378">
        <v>0.1</v>
      </c>
      <c r="V200" s="378">
        <v>0.15</v>
      </c>
      <c r="W200" s="380">
        <v>0.15</v>
      </c>
      <c r="X200" s="357"/>
      <c r="Y200" s="357"/>
      <c r="Z200" s="357"/>
      <c r="AA200" s="357"/>
      <c r="AB200" s="357"/>
      <c r="AC200" s="357"/>
      <c r="AD200" s="357"/>
      <c r="AE200" s="357"/>
      <c r="AF200" s="357"/>
      <c r="AG200" s="357"/>
      <c r="AH200" s="357"/>
      <c r="AI200" s="357"/>
      <c r="AJ200" s="357"/>
      <c r="AK200" s="357"/>
      <c r="AL200" s="357"/>
      <c r="AM200" s="357"/>
      <c r="AN200" s="357"/>
      <c r="AO200" s="357"/>
      <c r="AP200" s="357"/>
      <c r="AQ200" s="357"/>
      <c r="AR200" s="357"/>
      <c r="AS200" s="357"/>
      <c r="AT200" s="357"/>
      <c r="AU200" s="357"/>
      <c r="AV200" s="357"/>
      <c r="AW200" s="357"/>
      <c r="AX200" s="357"/>
      <c r="AY200" s="357"/>
      <c r="AZ200" s="357"/>
      <c r="BA200" s="357"/>
      <c r="BB200" s="357"/>
      <c r="BC200" s="357"/>
      <c r="BD200" s="357"/>
    </row>
    <row r="201" spans="1:56">
      <c r="A201" s="1046"/>
      <c r="B201" s="274" t="s">
        <v>162</v>
      </c>
      <c r="C201" s="579"/>
      <c r="D201" s="580"/>
      <c r="E201" s="581"/>
      <c r="F201" s="579"/>
      <c r="G201" s="580"/>
      <c r="H201" s="581"/>
      <c r="I201" s="579"/>
      <c r="J201" s="580"/>
      <c r="K201" s="581"/>
      <c r="L201" s="579"/>
      <c r="M201" s="580"/>
      <c r="N201" s="586">
        <v>2250</v>
      </c>
      <c r="O201" s="575">
        <f t="shared" si="9"/>
        <v>2363</v>
      </c>
      <c r="P201" s="455">
        <f t="shared" si="10"/>
        <v>2363</v>
      </c>
      <c r="Q201" s="455">
        <f t="shared" si="11"/>
        <v>2363</v>
      </c>
      <c r="R201" s="455">
        <f t="shared" si="12"/>
        <v>2363</v>
      </c>
      <c r="S201" s="402">
        <v>0.05</v>
      </c>
      <c r="T201" s="589">
        <v>0.2</v>
      </c>
      <c r="U201" s="378">
        <v>0.2</v>
      </c>
      <c r="V201" s="378">
        <v>0.2</v>
      </c>
      <c r="W201" s="380">
        <v>0.2</v>
      </c>
      <c r="X201" s="357"/>
      <c r="Y201" s="357"/>
      <c r="Z201" s="357"/>
      <c r="AA201" s="357"/>
      <c r="AB201" s="357"/>
      <c r="AC201" s="357"/>
      <c r="AD201" s="357"/>
      <c r="AE201" s="357"/>
      <c r="AF201" s="357"/>
      <c r="AG201" s="357"/>
      <c r="AH201" s="357"/>
      <c r="AI201" s="357"/>
      <c r="AJ201" s="357"/>
      <c r="AK201" s="357"/>
      <c r="AL201" s="357"/>
      <c r="AM201" s="357"/>
      <c r="AN201" s="357"/>
      <c r="AO201" s="357"/>
      <c r="AP201" s="357"/>
      <c r="AQ201" s="357"/>
      <c r="AR201" s="357"/>
      <c r="AS201" s="357"/>
      <c r="AT201" s="357"/>
      <c r="AU201" s="357"/>
      <c r="AV201" s="357"/>
      <c r="AW201" s="357"/>
      <c r="AX201" s="357"/>
      <c r="AY201" s="357"/>
      <c r="AZ201" s="357"/>
      <c r="BA201" s="357"/>
      <c r="BB201" s="357"/>
      <c r="BC201" s="357"/>
      <c r="BD201" s="357"/>
    </row>
    <row r="202" spans="1:56">
      <c r="A202" s="1046"/>
      <c r="B202" s="274" t="s">
        <v>163</v>
      </c>
      <c r="C202" s="579"/>
      <c r="D202" s="580"/>
      <c r="E202" s="581"/>
      <c r="F202" s="579"/>
      <c r="G202" s="580"/>
      <c r="H202" s="581"/>
      <c r="I202" s="579"/>
      <c r="J202" s="580"/>
      <c r="K202" s="581"/>
      <c r="L202" s="579"/>
      <c r="M202" s="580"/>
      <c r="N202" s="586">
        <v>600</v>
      </c>
      <c r="O202" s="575">
        <f t="shared" si="9"/>
        <v>630</v>
      </c>
      <c r="P202" s="455">
        <f t="shared" si="10"/>
        <v>630</v>
      </c>
      <c r="Q202" s="455">
        <f t="shared" si="11"/>
        <v>630</v>
      </c>
      <c r="R202" s="455">
        <f t="shared" si="12"/>
        <v>630</v>
      </c>
      <c r="S202" s="402">
        <v>0.05</v>
      </c>
      <c r="T202" s="589">
        <v>0.25</v>
      </c>
      <c r="U202" s="378">
        <v>0.25</v>
      </c>
      <c r="V202" s="378">
        <v>0.25</v>
      </c>
      <c r="W202" s="380">
        <v>0.25</v>
      </c>
      <c r="X202" s="357"/>
      <c r="Y202" s="357"/>
      <c r="Z202" s="357"/>
      <c r="AA202" s="357"/>
      <c r="AB202" s="357"/>
      <c r="AC202" s="357"/>
      <c r="AD202" s="357"/>
      <c r="AE202" s="357"/>
      <c r="AF202" s="357"/>
      <c r="AG202" s="357"/>
      <c r="AH202" s="357"/>
      <c r="AI202" s="357"/>
      <c r="AJ202" s="357"/>
      <c r="AK202" s="357"/>
      <c r="AL202" s="357"/>
      <c r="AM202" s="357"/>
      <c r="AN202" s="357"/>
      <c r="AO202" s="357"/>
      <c r="AP202" s="357"/>
      <c r="AQ202" s="357"/>
      <c r="AR202" s="357"/>
      <c r="AS202" s="357"/>
      <c r="AT202" s="357"/>
      <c r="AU202" s="357"/>
      <c r="AV202" s="357"/>
      <c r="AW202" s="357"/>
      <c r="AX202" s="357"/>
      <c r="AY202" s="357"/>
      <c r="AZ202" s="357"/>
      <c r="BA202" s="357"/>
      <c r="BB202" s="357"/>
      <c r="BC202" s="357"/>
      <c r="BD202" s="357"/>
    </row>
    <row r="203" spans="1:56" ht="16.5" thickBot="1">
      <c r="A203" s="1047"/>
      <c r="B203" s="279" t="s">
        <v>164</v>
      </c>
      <c r="C203" s="582"/>
      <c r="D203" s="583"/>
      <c r="E203" s="584"/>
      <c r="F203" s="582"/>
      <c r="G203" s="583"/>
      <c r="H203" s="584"/>
      <c r="I203" s="582"/>
      <c r="J203" s="583"/>
      <c r="K203" s="584"/>
      <c r="L203" s="582"/>
      <c r="M203" s="583"/>
      <c r="N203" s="587">
        <v>800</v>
      </c>
      <c r="O203" s="575">
        <f t="shared" si="9"/>
        <v>840</v>
      </c>
      <c r="P203" s="455">
        <f t="shared" si="10"/>
        <v>840</v>
      </c>
      <c r="Q203" s="455">
        <f t="shared" si="11"/>
        <v>840</v>
      </c>
      <c r="R203" s="455">
        <f t="shared" si="12"/>
        <v>840</v>
      </c>
      <c r="S203" s="402">
        <v>0.05</v>
      </c>
      <c r="T203" s="589">
        <v>0.15</v>
      </c>
      <c r="U203" s="378">
        <v>0.15</v>
      </c>
      <c r="V203" s="378">
        <v>0.15</v>
      </c>
      <c r="W203" s="380">
        <v>0.15</v>
      </c>
      <c r="X203" s="357"/>
      <c r="Y203" s="357"/>
      <c r="Z203" s="357"/>
      <c r="AA203" s="357"/>
      <c r="AB203" s="357"/>
      <c r="AC203" s="357"/>
      <c r="AD203" s="357"/>
      <c r="AE203" s="357"/>
      <c r="AF203" s="357"/>
      <c r="AG203" s="357"/>
      <c r="AH203" s="357"/>
      <c r="AI203" s="357"/>
      <c r="AJ203" s="357"/>
      <c r="AK203" s="357"/>
      <c r="AL203" s="357"/>
      <c r="AM203" s="357"/>
      <c r="AN203" s="357"/>
      <c r="AO203" s="357"/>
      <c r="AP203" s="357"/>
      <c r="AQ203" s="357"/>
      <c r="AR203" s="357"/>
      <c r="AS203" s="357"/>
      <c r="AT203" s="357"/>
      <c r="AU203" s="357"/>
      <c r="AV203" s="357"/>
      <c r="AW203" s="357"/>
      <c r="AX203" s="357"/>
      <c r="AY203" s="357"/>
      <c r="AZ203" s="357"/>
      <c r="BA203" s="357"/>
      <c r="BB203" s="357"/>
      <c r="BC203" s="357"/>
      <c r="BD203" s="357"/>
    </row>
    <row r="204" spans="1:56">
      <c r="A204" s="1045" t="s">
        <v>165</v>
      </c>
      <c r="B204" s="277" t="s">
        <v>166</v>
      </c>
      <c r="C204" s="576"/>
      <c r="D204" s="577"/>
      <c r="E204" s="578"/>
      <c r="F204" s="576"/>
      <c r="G204" s="577"/>
      <c r="H204" s="578"/>
      <c r="I204" s="576"/>
      <c r="J204" s="577"/>
      <c r="K204" s="578"/>
      <c r="L204" s="576"/>
      <c r="M204" s="577"/>
      <c r="N204" s="585">
        <v>1330</v>
      </c>
      <c r="O204" s="575">
        <f t="shared" si="9"/>
        <v>1397</v>
      </c>
      <c r="P204" s="455">
        <f t="shared" si="10"/>
        <v>1397</v>
      </c>
      <c r="Q204" s="455">
        <f t="shared" si="11"/>
        <v>1397</v>
      </c>
      <c r="R204" s="455">
        <f t="shared" si="12"/>
        <v>1397</v>
      </c>
      <c r="S204" s="402">
        <v>0.05</v>
      </c>
      <c r="T204" s="589">
        <v>0.25</v>
      </c>
      <c r="U204" s="378">
        <v>0.1</v>
      </c>
      <c r="V204" s="378">
        <v>0.1</v>
      </c>
      <c r="W204" s="380">
        <v>0.1</v>
      </c>
      <c r="X204" s="357"/>
      <c r="Y204" s="357"/>
      <c r="Z204" s="357"/>
      <c r="AA204" s="357"/>
      <c r="AB204" s="357"/>
      <c r="AC204" s="357"/>
      <c r="AD204" s="357"/>
      <c r="AE204" s="357"/>
      <c r="AF204" s="357"/>
      <c r="AG204" s="357"/>
      <c r="AH204" s="357"/>
      <c r="AI204" s="357"/>
      <c r="AJ204" s="357"/>
      <c r="AK204" s="357"/>
      <c r="AL204" s="357"/>
      <c r="AM204" s="357"/>
      <c r="AN204" s="357"/>
      <c r="AO204" s="357"/>
      <c r="AP204" s="357"/>
      <c r="AQ204" s="357"/>
      <c r="AR204" s="357"/>
      <c r="AS204" s="357"/>
      <c r="AT204" s="357"/>
      <c r="AU204" s="357"/>
      <c r="AV204" s="357"/>
      <c r="AW204" s="357"/>
      <c r="AX204" s="357"/>
      <c r="AY204" s="357"/>
      <c r="AZ204" s="357"/>
      <c r="BA204" s="357"/>
      <c r="BB204" s="357"/>
      <c r="BC204" s="357"/>
      <c r="BD204" s="357"/>
    </row>
    <row r="205" spans="1:56">
      <c r="A205" s="1046"/>
      <c r="B205" s="274" t="s">
        <v>167</v>
      </c>
      <c r="C205" s="579"/>
      <c r="D205" s="580"/>
      <c r="E205" s="581"/>
      <c r="F205" s="579"/>
      <c r="G205" s="580"/>
      <c r="H205" s="581"/>
      <c r="I205" s="579"/>
      <c r="J205" s="580"/>
      <c r="K205" s="581"/>
      <c r="L205" s="579"/>
      <c r="M205" s="580"/>
      <c r="N205" s="586">
        <v>1550</v>
      </c>
      <c r="O205" s="575">
        <f t="shared" si="9"/>
        <v>1628</v>
      </c>
      <c r="P205" s="455">
        <f t="shared" si="10"/>
        <v>1628</v>
      </c>
      <c r="Q205" s="455">
        <f t="shared" si="11"/>
        <v>1628</v>
      </c>
      <c r="R205" s="455">
        <f t="shared" si="12"/>
        <v>1628</v>
      </c>
      <c r="S205" s="402">
        <v>0.05</v>
      </c>
      <c r="T205" s="589">
        <v>0.15</v>
      </c>
      <c r="U205" s="378">
        <v>0.15</v>
      </c>
      <c r="V205" s="378">
        <v>0.15</v>
      </c>
      <c r="W205" s="380">
        <v>0.15</v>
      </c>
      <c r="X205" s="357"/>
      <c r="Y205" s="357"/>
      <c r="Z205" s="357"/>
      <c r="AA205" s="357"/>
      <c r="AB205" s="357"/>
      <c r="AC205" s="357"/>
      <c r="AD205" s="357"/>
      <c r="AE205" s="357"/>
      <c r="AF205" s="357"/>
      <c r="AG205" s="357"/>
      <c r="AH205" s="357"/>
      <c r="AI205" s="357"/>
      <c r="AJ205" s="357"/>
      <c r="AK205" s="357"/>
      <c r="AL205" s="357"/>
      <c r="AM205" s="357"/>
      <c r="AN205" s="357"/>
      <c r="AO205" s="357"/>
      <c r="AP205" s="357"/>
      <c r="AQ205" s="357"/>
      <c r="AR205" s="357"/>
      <c r="AS205" s="357"/>
      <c r="AT205" s="357"/>
      <c r="AU205" s="357"/>
      <c r="AV205" s="357"/>
      <c r="AW205" s="357"/>
      <c r="AX205" s="357"/>
      <c r="AY205" s="357"/>
      <c r="AZ205" s="357"/>
      <c r="BA205" s="357"/>
      <c r="BB205" s="357"/>
      <c r="BC205" s="357"/>
      <c r="BD205" s="357"/>
    </row>
    <row r="206" spans="1:56">
      <c r="A206" s="1046"/>
      <c r="B206" s="274" t="s">
        <v>168</v>
      </c>
      <c r="C206" s="579"/>
      <c r="D206" s="580"/>
      <c r="E206" s="581"/>
      <c r="F206" s="579"/>
      <c r="G206" s="580"/>
      <c r="H206" s="581"/>
      <c r="I206" s="579"/>
      <c r="J206" s="580"/>
      <c r="K206" s="581"/>
      <c r="L206" s="579"/>
      <c r="M206" s="580"/>
      <c r="N206" s="586">
        <v>900</v>
      </c>
      <c r="O206" s="575">
        <f t="shared" si="9"/>
        <v>945</v>
      </c>
      <c r="P206" s="455">
        <f t="shared" si="10"/>
        <v>945</v>
      </c>
      <c r="Q206" s="455">
        <f t="shared" si="11"/>
        <v>945</v>
      </c>
      <c r="R206" s="455">
        <f t="shared" si="12"/>
        <v>945</v>
      </c>
      <c r="S206" s="402">
        <v>0.05</v>
      </c>
      <c r="T206" s="589">
        <v>0.2</v>
      </c>
      <c r="U206" s="378">
        <v>0.1</v>
      </c>
      <c r="V206" s="378">
        <v>0.2</v>
      </c>
      <c r="W206" s="380">
        <v>0.2</v>
      </c>
      <c r="X206" s="357"/>
      <c r="Y206" s="357"/>
      <c r="Z206" s="357"/>
      <c r="AA206" s="357"/>
      <c r="AB206" s="357"/>
      <c r="AC206" s="357"/>
      <c r="AD206" s="357"/>
      <c r="AE206" s="357"/>
      <c r="AF206" s="357"/>
      <c r="AG206" s="357"/>
      <c r="AH206" s="357"/>
      <c r="AI206" s="357"/>
      <c r="AJ206" s="357"/>
      <c r="AK206" s="357"/>
      <c r="AL206" s="357"/>
      <c r="AM206" s="357"/>
      <c r="AN206" s="357"/>
      <c r="AO206" s="357"/>
      <c r="AP206" s="357"/>
      <c r="AQ206" s="357"/>
      <c r="AR206" s="357"/>
      <c r="AS206" s="357"/>
      <c r="AT206" s="357"/>
      <c r="AU206" s="357"/>
      <c r="AV206" s="357"/>
      <c r="AW206" s="357"/>
      <c r="AX206" s="357"/>
      <c r="AY206" s="357"/>
      <c r="AZ206" s="357"/>
      <c r="BA206" s="357"/>
      <c r="BB206" s="357"/>
      <c r="BC206" s="357"/>
      <c r="BD206" s="357"/>
    </row>
    <row r="207" spans="1:56">
      <c r="A207" s="1046"/>
      <c r="B207" s="274" t="s">
        <v>169</v>
      </c>
      <c r="C207" s="579"/>
      <c r="D207" s="580"/>
      <c r="E207" s="581"/>
      <c r="F207" s="579"/>
      <c r="G207" s="580"/>
      <c r="H207" s="581"/>
      <c r="I207" s="579"/>
      <c r="J207" s="580"/>
      <c r="K207" s="581"/>
      <c r="L207" s="579"/>
      <c r="M207" s="580"/>
      <c r="N207" s="586">
        <v>20000</v>
      </c>
      <c r="O207" s="575">
        <f t="shared" si="9"/>
        <v>21000</v>
      </c>
      <c r="P207" s="455">
        <f t="shared" si="10"/>
        <v>21000</v>
      </c>
      <c r="Q207" s="455">
        <f t="shared" si="11"/>
        <v>21000</v>
      </c>
      <c r="R207" s="455">
        <f t="shared" si="12"/>
        <v>21000</v>
      </c>
      <c r="S207" s="402">
        <v>0.05</v>
      </c>
      <c r="T207" s="589">
        <v>0.25</v>
      </c>
      <c r="U207" s="378">
        <v>0.14000000000000001</v>
      </c>
      <c r="V207" s="378">
        <v>0.25</v>
      </c>
      <c r="W207" s="380">
        <v>0.25</v>
      </c>
      <c r="X207" s="357"/>
      <c r="Y207" s="357"/>
      <c r="Z207" s="357"/>
      <c r="AA207" s="357"/>
      <c r="AB207" s="357"/>
      <c r="AC207" s="357"/>
      <c r="AD207" s="357"/>
      <c r="AE207" s="357"/>
      <c r="AF207" s="357"/>
      <c r="AG207" s="357"/>
      <c r="AH207" s="357"/>
      <c r="AI207" s="357"/>
      <c r="AJ207" s="357"/>
      <c r="AK207" s="357"/>
      <c r="AL207" s="357"/>
      <c r="AM207" s="357"/>
      <c r="AN207" s="357"/>
      <c r="AO207" s="357"/>
      <c r="AP207" s="357"/>
      <c r="AQ207" s="357"/>
      <c r="AR207" s="357"/>
      <c r="AS207" s="357"/>
      <c r="AT207" s="357"/>
      <c r="AU207" s="357"/>
      <c r="AV207" s="357"/>
      <c r="AW207" s="357"/>
      <c r="AX207" s="357"/>
      <c r="AY207" s="357"/>
      <c r="AZ207" s="357"/>
      <c r="BA207" s="357"/>
      <c r="BB207" s="357"/>
      <c r="BC207" s="357"/>
      <c r="BD207" s="357"/>
    </row>
    <row r="208" spans="1:56" ht="16.5" thickBot="1">
      <c r="A208" s="1047"/>
      <c r="B208" s="279" t="s">
        <v>170</v>
      </c>
      <c r="C208" s="582"/>
      <c r="D208" s="583"/>
      <c r="E208" s="584"/>
      <c r="F208" s="582"/>
      <c r="G208" s="583"/>
      <c r="H208" s="584"/>
      <c r="I208" s="582"/>
      <c r="J208" s="583"/>
      <c r="K208" s="584"/>
      <c r="L208" s="582"/>
      <c r="M208" s="583"/>
      <c r="N208" s="587">
        <v>600</v>
      </c>
      <c r="O208" s="575">
        <f t="shared" si="9"/>
        <v>630</v>
      </c>
      <c r="P208" s="455">
        <f t="shared" si="10"/>
        <v>630</v>
      </c>
      <c r="Q208" s="455">
        <f t="shared" si="11"/>
        <v>630</v>
      </c>
      <c r="R208" s="455">
        <f t="shared" si="12"/>
        <v>630</v>
      </c>
      <c r="S208" s="402">
        <v>0.05</v>
      </c>
      <c r="T208" s="589">
        <v>0.15</v>
      </c>
      <c r="U208" s="378">
        <v>0.15</v>
      </c>
      <c r="V208" s="378">
        <v>0.15</v>
      </c>
      <c r="W208" s="380">
        <v>0.15</v>
      </c>
      <c r="X208" s="357"/>
      <c r="Y208" s="357"/>
      <c r="Z208" s="357"/>
      <c r="AA208" s="357"/>
      <c r="AB208" s="357"/>
      <c r="AC208" s="357"/>
      <c r="AD208" s="357"/>
      <c r="AE208" s="357"/>
      <c r="AF208" s="357"/>
      <c r="AG208" s="357"/>
      <c r="AH208" s="357"/>
      <c r="AI208" s="357"/>
      <c r="AJ208" s="357"/>
      <c r="AK208" s="357"/>
      <c r="AL208" s="357"/>
      <c r="AM208" s="357"/>
      <c r="AN208" s="357"/>
      <c r="AO208" s="357"/>
      <c r="AP208" s="357"/>
      <c r="AQ208" s="357"/>
      <c r="AR208" s="357"/>
      <c r="AS208" s="357"/>
      <c r="AT208" s="357"/>
      <c r="AU208" s="357"/>
      <c r="AV208" s="357"/>
      <c r="AW208" s="357"/>
      <c r="AX208" s="357"/>
      <c r="AY208" s="357"/>
      <c r="AZ208" s="357"/>
      <c r="BA208" s="357"/>
      <c r="BB208" s="357"/>
      <c r="BC208" s="357"/>
      <c r="BD208" s="357"/>
    </row>
    <row r="209" spans="1:56">
      <c r="A209" s="1045" t="s">
        <v>249</v>
      </c>
      <c r="B209" s="277" t="s">
        <v>171</v>
      </c>
      <c r="C209" s="576"/>
      <c r="D209" s="577"/>
      <c r="E209" s="578"/>
      <c r="F209" s="576"/>
      <c r="G209" s="577"/>
      <c r="H209" s="578"/>
      <c r="I209" s="576"/>
      <c r="J209" s="577"/>
      <c r="K209" s="578"/>
      <c r="L209" s="576"/>
      <c r="M209" s="577"/>
      <c r="N209" s="585">
        <v>50</v>
      </c>
      <c r="O209" s="575">
        <f t="shared" si="9"/>
        <v>53</v>
      </c>
      <c r="P209" s="455">
        <f t="shared" si="10"/>
        <v>53</v>
      </c>
      <c r="Q209" s="455">
        <f t="shared" si="11"/>
        <v>53</v>
      </c>
      <c r="R209" s="455">
        <f t="shared" si="12"/>
        <v>53</v>
      </c>
      <c r="S209" s="402">
        <v>0.05</v>
      </c>
      <c r="T209" s="589">
        <v>0.2</v>
      </c>
      <c r="U209" s="378">
        <v>0.1</v>
      </c>
      <c r="V209" s="378">
        <v>0.1</v>
      </c>
      <c r="W209" s="380">
        <v>0.1</v>
      </c>
      <c r="X209" s="357"/>
      <c r="Y209" s="357"/>
      <c r="Z209" s="357"/>
      <c r="AA209" s="357"/>
      <c r="AB209" s="357"/>
      <c r="AC209" s="357"/>
      <c r="AD209" s="357"/>
      <c r="AE209" s="357"/>
      <c r="AF209" s="357"/>
      <c r="AG209" s="357"/>
      <c r="AH209" s="357"/>
      <c r="AI209" s="357"/>
      <c r="AJ209" s="357"/>
      <c r="AK209" s="357"/>
      <c r="AL209" s="357"/>
      <c r="AM209" s="357"/>
      <c r="AN209" s="357"/>
      <c r="AO209" s="357"/>
      <c r="AP209" s="357"/>
      <c r="AQ209" s="357"/>
      <c r="AR209" s="357"/>
      <c r="AS209" s="357"/>
      <c r="AT209" s="357"/>
      <c r="AU209" s="357"/>
      <c r="AV209" s="357"/>
      <c r="AW209" s="357"/>
      <c r="AX209" s="357"/>
      <c r="AY209" s="357"/>
      <c r="AZ209" s="357"/>
      <c r="BA209" s="357"/>
      <c r="BB209" s="357"/>
      <c r="BC209" s="357"/>
      <c r="BD209" s="357"/>
    </row>
    <row r="210" spans="1:56">
      <c r="A210" s="1046"/>
      <c r="B210" s="274" t="s">
        <v>172</v>
      </c>
      <c r="C210" s="579"/>
      <c r="D210" s="580"/>
      <c r="E210" s="581"/>
      <c r="F210" s="579"/>
      <c r="G210" s="580"/>
      <c r="H210" s="581"/>
      <c r="I210" s="579"/>
      <c r="J210" s="580"/>
      <c r="K210" s="581"/>
      <c r="L210" s="579"/>
      <c r="M210" s="580"/>
      <c r="N210" s="586">
        <v>50</v>
      </c>
      <c r="O210" s="575">
        <f t="shared" si="9"/>
        <v>53</v>
      </c>
      <c r="P210" s="455">
        <f t="shared" si="10"/>
        <v>53</v>
      </c>
      <c r="Q210" s="455">
        <f t="shared" si="11"/>
        <v>53</v>
      </c>
      <c r="R210" s="455">
        <f t="shared" si="12"/>
        <v>53</v>
      </c>
      <c r="S210" s="402">
        <v>0.05</v>
      </c>
      <c r="T210" s="589">
        <v>0.15</v>
      </c>
      <c r="U210" s="378">
        <v>0.15</v>
      </c>
      <c r="V210" s="378">
        <v>0.15</v>
      </c>
      <c r="W210" s="380">
        <v>0.15</v>
      </c>
      <c r="X210" s="357"/>
      <c r="Y210" s="357"/>
      <c r="Z210" s="357"/>
      <c r="AA210" s="357"/>
      <c r="AB210" s="357"/>
      <c r="AC210" s="357"/>
      <c r="AD210" s="357"/>
      <c r="AE210" s="357"/>
      <c r="AF210" s="357"/>
      <c r="AG210" s="357"/>
      <c r="AH210" s="357"/>
      <c r="AI210" s="357"/>
      <c r="AJ210" s="357"/>
      <c r="AK210" s="357"/>
      <c r="AL210" s="357"/>
      <c r="AM210" s="357"/>
      <c r="AN210" s="357"/>
      <c r="AO210" s="357"/>
      <c r="AP210" s="357"/>
      <c r="AQ210" s="357"/>
      <c r="AR210" s="357"/>
      <c r="AS210" s="357"/>
      <c r="AT210" s="357"/>
      <c r="AU210" s="357"/>
      <c r="AV210" s="357"/>
      <c r="AW210" s="357"/>
      <c r="AX210" s="357"/>
      <c r="AY210" s="357"/>
      <c r="AZ210" s="357"/>
      <c r="BA210" s="357"/>
      <c r="BB210" s="357"/>
      <c r="BC210" s="357"/>
      <c r="BD210" s="357"/>
    </row>
    <row r="211" spans="1:56">
      <c r="A211" s="1046"/>
      <c r="B211" s="274" t="s">
        <v>173</v>
      </c>
      <c r="C211" s="579"/>
      <c r="D211" s="580"/>
      <c r="E211" s="581"/>
      <c r="F211" s="579"/>
      <c r="G211" s="580"/>
      <c r="H211" s="581"/>
      <c r="I211" s="579"/>
      <c r="J211" s="580"/>
      <c r="K211" s="581"/>
      <c r="L211" s="579"/>
      <c r="M211" s="580"/>
      <c r="N211" s="586">
        <v>30</v>
      </c>
      <c r="O211" s="575">
        <f t="shared" si="9"/>
        <v>32</v>
      </c>
      <c r="P211" s="455">
        <f t="shared" si="10"/>
        <v>32</v>
      </c>
      <c r="Q211" s="455">
        <f t="shared" si="11"/>
        <v>32</v>
      </c>
      <c r="R211" s="455">
        <f t="shared" si="12"/>
        <v>32</v>
      </c>
      <c r="S211" s="402">
        <v>0.05</v>
      </c>
      <c r="T211" s="589">
        <v>0.2</v>
      </c>
      <c r="U211" s="378">
        <v>0.12</v>
      </c>
      <c r="V211" s="378">
        <v>0.2</v>
      </c>
      <c r="W211" s="380">
        <v>0.2</v>
      </c>
      <c r="X211" s="357"/>
      <c r="Y211" s="357"/>
      <c r="Z211" s="357"/>
      <c r="AA211" s="357"/>
      <c r="AB211" s="357"/>
      <c r="AC211" s="357"/>
      <c r="AD211" s="357"/>
      <c r="AE211" s="357"/>
      <c r="AF211" s="357"/>
      <c r="AG211" s="357"/>
      <c r="AH211" s="357"/>
      <c r="AI211" s="357"/>
      <c r="AJ211" s="357"/>
      <c r="AK211" s="357"/>
      <c r="AL211" s="357"/>
      <c r="AM211" s="357"/>
      <c r="AN211" s="357"/>
      <c r="AO211" s="357"/>
      <c r="AP211" s="357"/>
      <c r="AQ211" s="357"/>
      <c r="AR211" s="357"/>
      <c r="AS211" s="357"/>
      <c r="AT211" s="357"/>
      <c r="AU211" s="357"/>
      <c r="AV211" s="357"/>
      <c r="AW211" s="357"/>
      <c r="AX211" s="357"/>
      <c r="AY211" s="357"/>
      <c r="AZ211" s="357"/>
      <c r="BA211" s="357"/>
      <c r="BB211" s="357"/>
      <c r="BC211" s="357"/>
      <c r="BD211" s="357"/>
    </row>
    <row r="212" spans="1:56" ht="16.5" thickBot="1">
      <c r="A212" s="1047"/>
      <c r="B212" s="276" t="s">
        <v>174</v>
      </c>
      <c r="C212" s="582"/>
      <c r="D212" s="583"/>
      <c r="E212" s="584"/>
      <c r="F212" s="582"/>
      <c r="G212" s="583"/>
      <c r="H212" s="584"/>
      <c r="I212" s="582"/>
      <c r="J212" s="583"/>
      <c r="K212" s="584"/>
      <c r="L212" s="582"/>
      <c r="M212" s="583"/>
      <c r="N212" s="587">
        <v>30</v>
      </c>
      <c r="O212" s="575">
        <f t="shared" si="9"/>
        <v>32</v>
      </c>
      <c r="P212" s="455">
        <f t="shared" si="10"/>
        <v>32</v>
      </c>
      <c r="Q212" s="455">
        <f t="shared" si="11"/>
        <v>32</v>
      </c>
      <c r="R212" s="455">
        <f t="shared" si="12"/>
        <v>32</v>
      </c>
      <c r="S212" s="407">
        <v>0.05</v>
      </c>
      <c r="T212" s="590">
        <v>0.25</v>
      </c>
      <c r="U212" s="426">
        <v>0.15</v>
      </c>
      <c r="V212" s="426">
        <v>0.25</v>
      </c>
      <c r="W212" s="427">
        <v>0.25</v>
      </c>
      <c r="X212" s="357"/>
      <c r="Y212" s="357"/>
      <c r="Z212" s="357"/>
      <c r="AA212" s="357"/>
      <c r="AB212" s="357"/>
      <c r="AC212" s="357"/>
      <c r="AD212" s="357"/>
      <c r="AE212" s="357"/>
      <c r="AF212" s="357"/>
      <c r="AG212" s="357"/>
      <c r="AH212" s="357"/>
      <c r="AI212" s="357"/>
      <c r="AJ212" s="357"/>
      <c r="AK212" s="357"/>
      <c r="AL212" s="357"/>
      <c r="AM212" s="357"/>
      <c r="AN212" s="357"/>
      <c r="AO212" s="357"/>
      <c r="AP212" s="357"/>
      <c r="AQ212" s="357"/>
      <c r="AR212" s="357"/>
      <c r="AS212" s="357"/>
      <c r="AT212" s="357"/>
      <c r="AU212" s="357"/>
      <c r="AV212" s="357"/>
      <c r="AW212" s="357"/>
      <c r="AX212" s="357"/>
      <c r="AY212" s="357"/>
      <c r="AZ212" s="357"/>
      <c r="BA212" s="357"/>
      <c r="BB212" s="357"/>
      <c r="BC212" s="357"/>
      <c r="BD212" s="357"/>
    </row>
    <row r="213" spans="1:56">
      <c r="G213" s="357"/>
      <c r="H213" s="357"/>
      <c r="I213" s="357"/>
      <c r="J213" s="357"/>
      <c r="K213" s="357"/>
      <c r="L213" s="357"/>
      <c r="M213" s="357"/>
      <c r="N213" s="357"/>
      <c r="O213" s="357"/>
      <c r="P213" s="357"/>
      <c r="Q213" s="357"/>
      <c r="R213" s="357"/>
      <c r="S213" s="357"/>
      <c r="T213" s="592"/>
      <c r="U213" s="592"/>
      <c r="V213" s="592"/>
      <c r="W213" s="592"/>
      <c r="X213" s="357"/>
      <c r="Y213" s="357"/>
      <c r="Z213" s="357"/>
      <c r="AA213" s="357"/>
      <c r="AB213" s="357"/>
      <c r="AC213" s="357"/>
      <c r="AD213" s="357"/>
      <c r="AE213" s="357"/>
      <c r="AF213" s="357"/>
      <c r="AG213" s="357"/>
      <c r="AH213" s="357"/>
      <c r="AI213" s="357"/>
      <c r="AJ213" s="357"/>
      <c r="AK213" s="357"/>
      <c r="AL213" s="357"/>
      <c r="AM213" s="357"/>
      <c r="AN213" s="357"/>
      <c r="AO213" s="357"/>
      <c r="AP213" s="357"/>
      <c r="AQ213" s="357"/>
      <c r="AR213" s="357"/>
      <c r="AS213" s="357"/>
      <c r="AT213" s="357"/>
      <c r="AU213" s="357"/>
      <c r="AV213" s="357"/>
      <c r="AW213" s="357"/>
      <c r="AX213" s="357"/>
      <c r="AY213" s="357"/>
      <c r="AZ213" s="357"/>
      <c r="BA213" s="357"/>
      <c r="BB213" s="357"/>
      <c r="BC213" s="357"/>
      <c r="BD213" s="357"/>
    </row>
    <row r="214" spans="1:56">
      <c r="G214" s="357"/>
      <c r="H214" s="357"/>
      <c r="I214" s="357"/>
      <c r="J214" s="357"/>
      <c r="K214" s="357"/>
      <c r="L214" s="357"/>
      <c r="M214" s="357"/>
      <c r="N214" s="357"/>
      <c r="O214" s="357"/>
      <c r="P214" s="357"/>
      <c r="Q214" s="357"/>
      <c r="R214" s="357"/>
      <c r="S214" s="357"/>
      <c r="T214" s="592"/>
      <c r="U214" s="592"/>
      <c r="V214" s="592"/>
      <c r="W214" s="592"/>
      <c r="X214" s="357"/>
      <c r="Y214" s="357"/>
      <c r="Z214" s="357"/>
      <c r="AA214" s="357"/>
      <c r="AB214" s="357"/>
      <c r="AC214" s="357"/>
      <c r="AD214" s="357"/>
      <c r="AE214" s="357"/>
      <c r="AF214" s="357"/>
      <c r="AG214" s="357"/>
      <c r="AH214" s="357"/>
      <c r="AI214" s="357"/>
      <c r="AJ214" s="357"/>
      <c r="AK214" s="357"/>
      <c r="AL214" s="357"/>
      <c r="AM214" s="357"/>
      <c r="AN214" s="357"/>
      <c r="AO214" s="357"/>
      <c r="AP214" s="357"/>
      <c r="AQ214" s="357"/>
      <c r="AR214" s="357"/>
      <c r="AS214" s="357"/>
      <c r="AT214" s="357"/>
      <c r="AU214" s="357"/>
      <c r="AV214" s="357"/>
      <c r="AW214" s="357"/>
      <c r="AX214" s="357"/>
      <c r="AY214" s="357"/>
      <c r="AZ214" s="357"/>
      <c r="BA214" s="357"/>
      <c r="BB214" s="357"/>
      <c r="BC214" s="357"/>
      <c r="BD214" s="357"/>
    </row>
    <row r="215" spans="1:56" ht="16.5" thickBot="1">
      <c r="G215" s="357"/>
      <c r="H215" s="357"/>
      <c r="I215" s="357"/>
      <c r="J215" s="357"/>
      <c r="K215" s="357"/>
      <c r="L215" s="357"/>
      <c r="M215" s="357"/>
      <c r="N215" s="357"/>
      <c r="O215" s="357"/>
      <c r="P215" s="357"/>
      <c r="Q215" s="357"/>
      <c r="R215" s="357"/>
      <c r="S215" s="357"/>
      <c r="X215" s="357"/>
      <c r="Y215" s="357"/>
      <c r="Z215" s="357"/>
      <c r="AA215" s="357"/>
      <c r="AB215" s="357"/>
      <c r="AC215" s="357"/>
      <c r="AD215" s="357"/>
      <c r="AE215" s="357"/>
      <c r="AF215" s="357"/>
      <c r="AG215" s="357"/>
      <c r="AH215" s="357"/>
      <c r="AI215" s="357"/>
      <c r="AJ215" s="357"/>
      <c r="AK215" s="357"/>
      <c r="AL215" s="357"/>
      <c r="AM215" s="357"/>
      <c r="AN215" s="357"/>
      <c r="AO215" s="357"/>
      <c r="AP215" s="357"/>
      <c r="AQ215" s="357"/>
      <c r="AR215" s="357"/>
      <c r="AS215" s="357"/>
      <c r="AT215" s="357"/>
      <c r="AU215" s="357"/>
      <c r="AV215" s="357"/>
      <c r="AW215" s="357"/>
      <c r="AX215" s="357"/>
      <c r="AY215" s="357"/>
      <c r="AZ215" s="357"/>
      <c r="BA215" s="357"/>
      <c r="BB215" s="357"/>
      <c r="BC215" s="357"/>
      <c r="BD215" s="357"/>
    </row>
    <row r="216" spans="1:56" ht="16.5" thickBot="1">
      <c r="A216" s="1059" t="s">
        <v>248</v>
      </c>
      <c r="B216" s="1043" t="s">
        <v>119</v>
      </c>
      <c r="C216" s="1021" t="s">
        <v>276</v>
      </c>
      <c r="D216" s="1022"/>
      <c r="E216" s="1022"/>
      <c r="F216" s="1022"/>
      <c r="G216" s="1022"/>
      <c r="H216" s="1022"/>
      <c r="I216" s="1022"/>
      <c r="J216" s="1022"/>
      <c r="K216" s="1022"/>
      <c r="L216" s="1022"/>
      <c r="M216" s="1022"/>
      <c r="N216" s="1023"/>
      <c r="O216" s="357"/>
      <c r="P216" s="357"/>
      <c r="Q216" s="357"/>
      <c r="R216" s="357"/>
      <c r="S216" s="357"/>
      <c r="X216" s="357"/>
      <c r="Y216" s="357"/>
      <c r="Z216" s="357"/>
      <c r="AA216" s="357"/>
      <c r="AB216" s="357"/>
      <c r="AC216" s="357"/>
      <c r="AD216" s="357"/>
      <c r="AE216" s="357"/>
      <c r="AF216" s="357"/>
      <c r="AG216" s="357"/>
      <c r="AH216" s="357"/>
      <c r="AI216" s="357"/>
      <c r="AJ216" s="357"/>
      <c r="AK216" s="357"/>
      <c r="AL216" s="357"/>
      <c r="AM216" s="357"/>
      <c r="AN216" s="357"/>
      <c r="AO216" s="357"/>
      <c r="AP216" s="357"/>
      <c r="AQ216" s="357"/>
      <c r="AR216" s="357"/>
      <c r="AS216" s="357"/>
      <c r="AT216" s="357"/>
      <c r="AU216" s="357"/>
      <c r="AV216" s="357"/>
      <c r="AW216" s="357"/>
      <c r="AX216" s="357"/>
      <c r="AY216" s="357"/>
      <c r="AZ216" s="357"/>
      <c r="BA216" s="357"/>
      <c r="BB216" s="357"/>
      <c r="BC216" s="357"/>
      <c r="BD216" s="357"/>
    </row>
    <row r="217" spans="1:56" ht="16.5" thickBot="1">
      <c r="A217" s="1060"/>
      <c r="B217" s="1044"/>
      <c r="C217" s="372">
        <v>44652</v>
      </c>
      <c r="D217" s="373">
        <v>44682</v>
      </c>
      <c r="E217" s="408">
        <v>44713</v>
      </c>
      <c r="F217" s="373">
        <v>44743</v>
      </c>
      <c r="G217" s="408">
        <v>44774</v>
      </c>
      <c r="H217" s="373">
        <v>44805</v>
      </c>
      <c r="I217" s="408">
        <v>44835</v>
      </c>
      <c r="J217" s="373">
        <v>44866</v>
      </c>
      <c r="K217" s="408">
        <v>44896</v>
      </c>
      <c r="L217" s="373">
        <v>44927</v>
      </c>
      <c r="M217" s="408">
        <v>44958</v>
      </c>
      <c r="N217" s="409">
        <v>44986</v>
      </c>
      <c r="O217" s="357"/>
      <c r="P217" s="357"/>
      <c r="Q217" s="357"/>
      <c r="R217" s="357"/>
      <c r="S217" s="357"/>
      <c r="X217" s="357"/>
      <c r="Y217" s="357"/>
      <c r="Z217" s="357"/>
      <c r="AA217" s="357"/>
      <c r="AB217" s="357"/>
      <c r="AC217" s="357"/>
      <c r="AD217" s="357"/>
      <c r="AE217" s="357"/>
      <c r="AF217" s="357"/>
      <c r="AG217" s="357"/>
      <c r="AH217" s="357"/>
      <c r="AI217" s="357"/>
      <c r="AJ217" s="357"/>
      <c r="AK217" s="357"/>
      <c r="AL217" s="357"/>
      <c r="AM217" s="357"/>
      <c r="AN217" s="357"/>
      <c r="AO217" s="357"/>
      <c r="AP217" s="357"/>
      <c r="AQ217" s="357"/>
      <c r="AR217" s="357"/>
      <c r="AS217" s="357"/>
      <c r="AT217" s="357"/>
      <c r="AU217" s="357"/>
      <c r="AV217" s="357"/>
      <c r="AW217" s="357"/>
      <c r="AX217" s="357"/>
      <c r="AY217" s="357"/>
      <c r="AZ217" s="357"/>
      <c r="BA217" s="357"/>
      <c r="BB217" s="357"/>
      <c r="BC217" s="357"/>
      <c r="BD217" s="357"/>
    </row>
    <row r="218" spans="1:56">
      <c r="A218" s="1058" t="s">
        <v>124</v>
      </c>
      <c r="B218" s="374" t="s">
        <v>128</v>
      </c>
      <c r="C218" s="410"/>
      <c r="D218" s="410"/>
      <c r="E218" s="410"/>
      <c r="F218" s="410">
        <v>0.2</v>
      </c>
      <c r="G218" s="410">
        <v>0.3</v>
      </c>
      <c r="H218" s="410">
        <v>0.5</v>
      </c>
      <c r="I218" s="410"/>
      <c r="J218" s="410"/>
      <c r="K218" s="410"/>
      <c r="L218" s="410"/>
      <c r="M218" s="410"/>
      <c r="N218" s="411"/>
      <c r="O218" s="357"/>
      <c r="P218" s="357"/>
      <c r="Q218" s="357"/>
      <c r="R218" s="357"/>
      <c r="S218" s="357"/>
      <c r="X218" s="357"/>
      <c r="Y218" s="357"/>
      <c r="Z218" s="357"/>
      <c r="AA218" s="357"/>
      <c r="AB218" s="357"/>
      <c r="AC218" s="357"/>
      <c r="AD218" s="357"/>
      <c r="AE218" s="357"/>
      <c r="AF218" s="357"/>
      <c r="AG218" s="357"/>
      <c r="AH218" s="357"/>
      <c r="AI218" s="357"/>
      <c r="AJ218" s="357"/>
      <c r="AK218" s="357"/>
      <c r="AL218" s="357"/>
      <c r="AM218" s="357"/>
      <c r="AN218" s="357"/>
      <c r="AO218" s="357"/>
      <c r="AP218" s="357"/>
      <c r="AQ218" s="357"/>
      <c r="AR218" s="357"/>
      <c r="AS218" s="357"/>
      <c r="AT218" s="357"/>
      <c r="AU218" s="357"/>
      <c r="AV218" s="357"/>
      <c r="AW218" s="357"/>
      <c r="AX218" s="357"/>
      <c r="AY218" s="357"/>
      <c r="AZ218" s="357"/>
      <c r="BA218" s="357"/>
      <c r="BB218" s="357"/>
      <c r="BC218" s="357"/>
      <c r="BD218" s="357"/>
    </row>
    <row r="219" spans="1:56">
      <c r="A219" s="1004"/>
      <c r="B219" s="377" t="s">
        <v>129</v>
      </c>
      <c r="C219" s="381"/>
      <c r="D219" s="381"/>
      <c r="E219" s="381"/>
      <c r="F219" s="381"/>
      <c r="G219" s="381"/>
      <c r="H219" s="381">
        <v>0.3</v>
      </c>
      <c r="I219" s="381">
        <v>0.2</v>
      </c>
      <c r="J219" s="381">
        <v>0.5</v>
      </c>
      <c r="K219" s="381"/>
      <c r="L219" s="381"/>
      <c r="M219" s="381"/>
      <c r="N219" s="381"/>
      <c r="O219" s="357"/>
      <c r="P219" s="357"/>
      <c r="Q219" s="357"/>
      <c r="R219" s="357"/>
      <c r="S219" s="357"/>
      <c r="X219" s="357"/>
      <c r="Y219" s="357"/>
      <c r="Z219" s="357"/>
      <c r="AA219" s="357"/>
      <c r="AB219" s="357"/>
      <c r="AC219" s="357"/>
      <c r="AD219" s="357"/>
      <c r="AE219" s="357"/>
      <c r="AF219" s="357"/>
      <c r="AG219" s="357"/>
      <c r="AH219" s="357"/>
      <c r="AI219" s="357"/>
      <c r="AJ219" s="357"/>
      <c r="AK219" s="357"/>
      <c r="AL219" s="357"/>
      <c r="AM219" s="357"/>
      <c r="AN219" s="357"/>
      <c r="AO219" s="357"/>
      <c r="AP219" s="357"/>
      <c r="AQ219" s="357"/>
      <c r="AR219" s="357"/>
      <c r="AS219" s="357"/>
      <c r="AT219" s="357"/>
      <c r="AU219" s="357"/>
      <c r="AV219" s="357"/>
      <c r="AW219" s="357"/>
      <c r="AX219" s="357"/>
      <c r="AY219" s="357"/>
      <c r="AZ219" s="357"/>
      <c r="BA219" s="357"/>
      <c r="BB219" s="357"/>
      <c r="BC219" s="357"/>
      <c r="BD219" s="357"/>
    </row>
    <row r="220" spans="1:56">
      <c r="A220" s="1004"/>
      <c r="B220" s="377" t="s">
        <v>130</v>
      </c>
      <c r="C220" s="381"/>
      <c r="D220" s="381"/>
      <c r="E220" s="381"/>
      <c r="F220" s="381"/>
      <c r="G220" s="381">
        <v>0.5</v>
      </c>
      <c r="H220" s="381">
        <v>0.3</v>
      </c>
      <c r="I220" s="381">
        <v>0.2</v>
      </c>
      <c r="J220" s="381"/>
      <c r="K220" s="381"/>
      <c r="L220" s="381"/>
      <c r="M220" s="381"/>
      <c r="N220" s="382"/>
      <c r="O220" s="357"/>
      <c r="P220" s="357"/>
      <c r="Q220" s="357"/>
      <c r="R220" s="357"/>
      <c r="S220" s="357"/>
      <c r="X220" s="357"/>
      <c r="Y220" s="357"/>
      <c r="Z220" s="357"/>
      <c r="AA220" s="357"/>
      <c r="AB220" s="357"/>
      <c r="AC220" s="357"/>
      <c r="AD220" s="357"/>
      <c r="AE220" s="357"/>
      <c r="AF220" s="357"/>
      <c r="AG220" s="357"/>
      <c r="AH220" s="357"/>
      <c r="AI220" s="357"/>
      <c r="AJ220" s="357"/>
      <c r="AK220" s="357"/>
      <c r="AL220" s="357"/>
      <c r="AM220" s="357"/>
      <c r="AN220" s="357"/>
      <c r="AO220" s="357"/>
      <c r="AP220" s="357"/>
      <c r="AQ220" s="357"/>
      <c r="AR220" s="357"/>
      <c r="AS220" s="357"/>
      <c r="AT220" s="357"/>
      <c r="AU220" s="357"/>
      <c r="AV220" s="357"/>
      <c r="AW220" s="357"/>
      <c r="AX220" s="357"/>
      <c r="AY220" s="357"/>
      <c r="AZ220" s="357"/>
      <c r="BA220" s="357"/>
      <c r="BB220" s="357"/>
      <c r="BC220" s="357"/>
      <c r="BD220" s="357"/>
    </row>
    <row r="221" spans="1:56">
      <c r="A221" s="1003"/>
      <c r="B221" s="244">
        <v>1010</v>
      </c>
      <c r="C221" s="381"/>
      <c r="D221" s="381"/>
      <c r="E221" s="381"/>
      <c r="F221" s="381"/>
      <c r="G221" s="381"/>
      <c r="H221" s="381"/>
      <c r="I221" s="381"/>
      <c r="J221" s="381"/>
      <c r="K221" s="381"/>
      <c r="L221" s="381">
        <v>0.7</v>
      </c>
      <c r="M221" s="381">
        <v>0.1</v>
      </c>
      <c r="N221" s="382">
        <v>0.2</v>
      </c>
      <c r="O221" s="357"/>
      <c r="P221" s="357"/>
      <c r="Q221" s="357"/>
      <c r="R221" s="357"/>
      <c r="S221" s="357"/>
      <c r="X221" s="357"/>
      <c r="Y221" s="357"/>
      <c r="Z221" s="357"/>
      <c r="AA221" s="357"/>
      <c r="AB221" s="357"/>
      <c r="AC221" s="357"/>
      <c r="AD221" s="357"/>
      <c r="AE221" s="357"/>
      <c r="AF221" s="357"/>
      <c r="AG221" s="357"/>
      <c r="AH221" s="357"/>
      <c r="AI221" s="357"/>
      <c r="AJ221" s="357"/>
      <c r="AK221" s="357"/>
      <c r="AL221" s="357"/>
      <c r="AM221" s="357"/>
      <c r="AN221" s="357"/>
      <c r="AO221" s="357"/>
      <c r="AP221" s="357"/>
      <c r="AQ221" s="357"/>
      <c r="AR221" s="357"/>
      <c r="AS221" s="357"/>
      <c r="AT221" s="357"/>
      <c r="AU221" s="357"/>
      <c r="AV221" s="357"/>
      <c r="AW221" s="357"/>
      <c r="AX221" s="357"/>
      <c r="AY221" s="357"/>
      <c r="AZ221" s="357"/>
      <c r="BA221" s="357"/>
      <c r="BB221" s="357"/>
      <c r="BC221" s="357"/>
      <c r="BD221" s="357"/>
    </row>
    <row r="222" spans="1:56" ht="15.75" customHeight="1">
      <c r="A222" s="1002" t="s">
        <v>180</v>
      </c>
      <c r="B222" s="377" t="s">
        <v>131</v>
      </c>
      <c r="C222" s="381">
        <v>0.1</v>
      </c>
      <c r="D222" s="381">
        <v>0.1</v>
      </c>
      <c r="E222" s="381">
        <v>0.1</v>
      </c>
      <c r="F222" s="381">
        <v>0.1</v>
      </c>
      <c r="G222" s="381">
        <v>0.1</v>
      </c>
      <c r="H222" s="381">
        <v>0.1</v>
      </c>
      <c r="I222" s="381">
        <v>0.1</v>
      </c>
      <c r="J222" s="381">
        <v>0.1</v>
      </c>
      <c r="K222" s="381">
        <v>0.05</v>
      </c>
      <c r="L222" s="381">
        <v>0.05</v>
      </c>
      <c r="M222" s="381">
        <v>0.05</v>
      </c>
      <c r="N222" s="382">
        <v>0.05</v>
      </c>
      <c r="O222" s="357"/>
      <c r="P222" s="357"/>
      <c r="Q222" s="357"/>
      <c r="R222" s="357"/>
      <c r="S222" s="357"/>
      <c r="X222" s="357"/>
      <c r="Y222" s="357"/>
      <c r="Z222" s="357"/>
      <c r="AA222" s="357"/>
      <c r="AB222" s="357"/>
      <c r="AC222" s="357"/>
      <c r="AD222" s="357"/>
      <c r="AE222" s="357"/>
      <c r="AF222" s="357"/>
      <c r="AG222" s="357"/>
      <c r="AH222" s="357"/>
      <c r="AI222" s="357"/>
      <c r="AJ222" s="357"/>
      <c r="AK222" s="357"/>
      <c r="AL222" s="357"/>
      <c r="AM222" s="357"/>
      <c r="AN222" s="357"/>
      <c r="AO222" s="357"/>
      <c r="AP222" s="357"/>
      <c r="AQ222" s="357"/>
      <c r="AR222" s="357"/>
      <c r="AS222" s="357"/>
      <c r="AT222" s="357"/>
      <c r="AU222" s="357"/>
      <c r="AV222" s="357"/>
      <c r="AW222" s="357"/>
      <c r="AX222" s="357"/>
      <c r="AY222" s="357"/>
      <c r="AZ222" s="357"/>
      <c r="BA222" s="357"/>
      <c r="BB222" s="357"/>
      <c r="BC222" s="357"/>
      <c r="BD222" s="357"/>
    </row>
    <row r="223" spans="1:56">
      <c r="A223" s="1004"/>
      <c r="B223" s="377" t="s">
        <v>132</v>
      </c>
      <c r="C223" s="381">
        <v>0.1</v>
      </c>
      <c r="D223" s="381">
        <v>0.1</v>
      </c>
      <c r="E223" s="381">
        <v>0.1</v>
      </c>
      <c r="F223" s="381">
        <v>0.1</v>
      </c>
      <c r="G223" s="381">
        <v>0.1</v>
      </c>
      <c r="H223" s="381">
        <v>0.1</v>
      </c>
      <c r="I223" s="381">
        <v>0.1</v>
      </c>
      <c r="J223" s="381">
        <v>0.1</v>
      </c>
      <c r="K223" s="381">
        <v>0.05</v>
      </c>
      <c r="L223" s="381">
        <v>0.05</v>
      </c>
      <c r="M223" s="381">
        <v>0.05</v>
      </c>
      <c r="N223" s="382">
        <v>0.05</v>
      </c>
      <c r="O223" s="357"/>
      <c r="P223" s="357"/>
      <c r="Q223" s="357"/>
      <c r="R223" s="357"/>
      <c r="S223" s="357"/>
      <c r="X223" s="357"/>
      <c r="Y223" s="357"/>
      <c r="Z223" s="357"/>
      <c r="AA223" s="357"/>
      <c r="AB223" s="357"/>
      <c r="AC223" s="357"/>
      <c r="AD223" s="357"/>
      <c r="AE223" s="357"/>
      <c r="AF223" s="357"/>
      <c r="AG223" s="357"/>
      <c r="AH223" s="357"/>
      <c r="AI223" s="357"/>
      <c r="AJ223" s="357"/>
      <c r="AK223" s="357"/>
      <c r="AL223" s="357"/>
      <c r="AM223" s="357"/>
      <c r="AN223" s="357"/>
      <c r="AO223" s="357"/>
      <c r="AP223" s="357"/>
      <c r="AQ223" s="357"/>
      <c r="AR223" s="357"/>
      <c r="AS223" s="357"/>
      <c r="AT223" s="357"/>
      <c r="AU223" s="357"/>
      <c r="AV223" s="357"/>
      <c r="AW223" s="357"/>
      <c r="AX223" s="357"/>
      <c r="AY223" s="357"/>
      <c r="AZ223" s="357"/>
      <c r="BA223" s="357"/>
      <c r="BB223" s="357"/>
      <c r="BC223" s="357"/>
      <c r="BD223" s="357"/>
    </row>
    <row r="224" spans="1:56">
      <c r="A224" s="1004"/>
      <c r="B224" s="377" t="s">
        <v>133</v>
      </c>
      <c r="C224" s="381">
        <v>0.1</v>
      </c>
      <c r="D224" s="381">
        <v>0.1</v>
      </c>
      <c r="E224" s="381">
        <v>0.1</v>
      </c>
      <c r="F224" s="381">
        <v>0.1</v>
      </c>
      <c r="G224" s="381">
        <v>0.1</v>
      </c>
      <c r="H224" s="381">
        <v>0.1</v>
      </c>
      <c r="I224" s="381">
        <v>0.1</v>
      </c>
      <c r="J224" s="381">
        <v>0.1</v>
      </c>
      <c r="K224" s="381">
        <v>0.05</v>
      </c>
      <c r="L224" s="381">
        <v>0.05</v>
      </c>
      <c r="M224" s="381">
        <v>0.05</v>
      </c>
      <c r="N224" s="382">
        <v>0.05</v>
      </c>
      <c r="O224" s="357"/>
      <c r="P224" s="357"/>
      <c r="Q224" s="357"/>
      <c r="R224" s="357"/>
      <c r="S224" s="357"/>
      <c r="X224" s="357"/>
      <c r="Y224" s="357"/>
      <c r="Z224" s="357"/>
      <c r="AA224" s="357"/>
      <c r="AB224" s="357"/>
      <c r="AC224" s="357"/>
      <c r="AD224" s="357"/>
      <c r="AE224" s="357"/>
      <c r="AF224" s="357"/>
      <c r="AG224" s="357"/>
      <c r="AH224" s="357"/>
      <c r="AI224" s="357"/>
      <c r="AJ224" s="357"/>
      <c r="AK224" s="357"/>
      <c r="AL224" s="357"/>
      <c r="AM224" s="357"/>
      <c r="AN224" s="357"/>
      <c r="AO224" s="357"/>
      <c r="AP224" s="357"/>
      <c r="AQ224" s="357"/>
      <c r="AR224" s="357"/>
      <c r="AS224" s="357"/>
      <c r="AT224" s="357"/>
      <c r="AU224" s="357"/>
      <c r="AV224" s="357"/>
      <c r="AW224" s="357"/>
      <c r="AX224" s="357"/>
      <c r="AY224" s="357"/>
      <c r="AZ224" s="357"/>
      <c r="BA224" s="357"/>
      <c r="BB224" s="357"/>
      <c r="BC224" s="357"/>
      <c r="BD224" s="357"/>
    </row>
    <row r="225" spans="1:56">
      <c r="A225" s="1004"/>
      <c r="B225" s="377" t="s">
        <v>140</v>
      </c>
      <c r="C225" s="381">
        <v>0.1</v>
      </c>
      <c r="D225" s="381">
        <v>0.1</v>
      </c>
      <c r="E225" s="381">
        <v>0.1</v>
      </c>
      <c r="F225" s="381">
        <v>0.1</v>
      </c>
      <c r="G225" s="381">
        <v>0.1</v>
      </c>
      <c r="H225" s="381">
        <v>0.1</v>
      </c>
      <c r="I225" s="381">
        <v>0.1</v>
      </c>
      <c r="J225" s="381">
        <v>0.1</v>
      </c>
      <c r="K225" s="381">
        <v>0.05</v>
      </c>
      <c r="L225" s="381">
        <v>0.05</v>
      </c>
      <c r="M225" s="381">
        <v>0.05</v>
      </c>
      <c r="N225" s="382">
        <v>0.05</v>
      </c>
      <c r="O225" s="357"/>
      <c r="P225" s="357"/>
      <c r="Q225" s="357"/>
      <c r="R225" s="357"/>
      <c r="S225" s="357"/>
      <c r="X225" s="357"/>
      <c r="Y225" s="357"/>
      <c r="Z225" s="357"/>
      <c r="AA225" s="357"/>
      <c r="AB225" s="357"/>
      <c r="AC225" s="357"/>
      <c r="AD225" s="357"/>
      <c r="AE225" s="357"/>
      <c r="AF225" s="357"/>
      <c r="AG225" s="357"/>
      <c r="AH225" s="357"/>
      <c r="AI225" s="357"/>
      <c r="AJ225" s="357"/>
      <c r="AK225" s="357"/>
      <c r="AL225" s="357"/>
      <c r="AM225" s="357"/>
      <c r="AN225" s="357"/>
      <c r="AO225" s="357"/>
      <c r="AP225" s="357"/>
      <c r="AQ225" s="357"/>
      <c r="AR225" s="357"/>
      <c r="AS225" s="357"/>
      <c r="AT225" s="357"/>
      <c r="AU225" s="357"/>
      <c r="AV225" s="357"/>
      <c r="AW225" s="357"/>
      <c r="AX225" s="357"/>
      <c r="AY225" s="357"/>
      <c r="AZ225" s="357"/>
      <c r="BA225" s="357"/>
      <c r="BB225" s="357"/>
      <c r="BC225" s="357"/>
      <c r="BD225" s="357"/>
    </row>
    <row r="226" spans="1:56">
      <c r="A226" s="1004"/>
      <c r="B226" s="377" t="s">
        <v>139</v>
      </c>
      <c r="C226" s="381">
        <v>0.1</v>
      </c>
      <c r="D226" s="381">
        <v>0.1</v>
      </c>
      <c r="E226" s="381">
        <v>0.1</v>
      </c>
      <c r="F226" s="381">
        <v>0.1</v>
      </c>
      <c r="G226" s="381">
        <v>0.1</v>
      </c>
      <c r="H226" s="381">
        <v>0.1</v>
      </c>
      <c r="I226" s="381">
        <v>0.1</v>
      </c>
      <c r="J226" s="381">
        <v>0.1</v>
      </c>
      <c r="K226" s="381">
        <v>0.05</v>
      </c>
      <c r="L226" s="381">
        <v>0.05</v>
      </c>
      <c r="M226" s="381">
        <v>0.05</v>
      </c>
      <c r="N226" s="382">
        <v>0.05</v>
      </c>
      <c r="O226" s="357"/>
      <c r="P226" s="357"/>
      <c r="Q226" s="357"/>
      <c r="R226" s="357"/>
      <c r="S226" s="357"/>
      <c r="X226" s="357"/>
      <c r="Y226" s="357"/>
      <c r="Z226" s="357"/>
      <c r="AA226" s="357"/>
      <c r="AB226" s="357"/>
      <c r="AC226" s="357"/>
      <c r="AD226" s="357"/>
      <c r="AE226" s="357"/>
      <c r="AF226" s="357"/>
      <c r="AG226" s="357"/>
      <c r="AH226" s="357"/>
      <c r="AI226" s="357"/>
      <c r="AJ226" s="357"/>
      <c r="AK226" s="357"/>
      <c r="AL226" s="357"/>
      <c r="AM226" s="357"/>
      <c r="AN226" s="357"/>
      <c r="AO226" s="357"/>
      <c r="AP226" s="357"/>
      <c r="AQ226" s="357"/>
      <c r="AR226" s="357"/>
      <c r="AS226" s="357"/>
      <c r="AT226" s="357"/>
      <c r="AU226" s="357"/>
      <c r="AV226" s="357"/>
      <c r="AW226" s="357"/>
      <c r="AX226" s="357"/>
      <c r="AY226" s="357"/>
      <c r="AZ226" s="357"/>
      <c r="BA226" s="357"/>
      <c r="BB226" s="357"/>
      <c r="BC226" s="357"/>
      <c r="BD226" s="357"/>
    </row>
    <row r="227" spans="1:56">
      <c r="A227" s="1004"/>
      <c r="B227" s="377" t="s">
        <v>134</v>
      </c>
      <c r="C227" s="381">
        <v>0.1</v>
      </c>
      <c r="D227" s="381">
        <v>0.1</v>
      </c>
      <c r="E227" s="381">
        <v>0.1</v>
      </c>
      <c r="F227" s="381">
        <v>0.1</v>
      </c>
      <c r="G227" s="381">
        <v>0.1</v>
      </c>
      <c r="H227" s="381">
        <v>0.1</v>
      </c>
      <c r="I227" s="381">
        <v>0.1</v>
      </c>
      <c r="J227" s="381">
        <v>0.1</v>
      </c>
      <c r="K227" s="381">
        <v>0.05</v>
      </c>
      <c r="L227" s="381">
        <v>0.05</v>
      </c>
      <c r="M227" s="381">
        <v>0.05</v>
      </c>
      <c r="N227" s="382">
        <v>0.05</v>
      </c>
      <c r="O227" s="357"/>
      <c r="P227" s="357"/>
      <c r="Q227" s="357"/>
      <c r="R227" s="357"/>
      <c r="S227" s="357"/>
      <c r="X227" s="357"/>
      <c r="Y227" s="357"/>
      <c r="Z227" s="357"/>
      <c r="AA227" s="357"/>
      <c r="AB227" s="357"/>
      <c r="AC227" s="357"/>
      <c r="AD227" s="357"/>
      <c r="AE227" s="357"/>
      <c r="AF227" s="357"/>
      <c r="AG227" s="357"/>
      <c r="AH227" s="357"/>
      <c r="AI227" s="357"/>
      <c r="AJ227" s="357"/>
      <c r="AK227" s="357"/>
      <c r="AL227" s="357"/>
      <c r="AM227" s="357"/>
      <c r="AN227" s="357"/>
      <c r="AO227" s="357"/>
      <c r="AP227" s="357"/>
      <c r="AQ227" s="357"/>
      <c r="AR227" s="357"/>
      <c r="AS227" s="357"/>
      <c r="AT227" s="357"/>
      <c r="AU227" s="357"/>
      <c r="AV227" s="357"/>
      <c r="AW227" s="357"/>
      <c r="AX227" s="357"/>
      <c r="AY227" s="357"/>
      <c r="AZ227" s="357"/>
      <c r="BA227" s="357"/>
      <c r="BB227" s="357"/>
      <c r="BC227" s="357"/>
      <c r="BD227" s="357"/>
    </row>
    <row r="228" spans="1:56">
      <c r="A228" s="1003"/>
      <c r="B228" s="377" t="s">
        <v>135</v>
      </c>
      <c r="C228" s="381">
        <v>0.1</v>
      </c>
      <c r="D228" s="381">
        <v>0.1</v>
      </c>
      <c r="E228" s="381">
        <v>0.1</v>
      </c>
      <c r="F228" s="381">
        <v>0.1</v>
      </c>
      <c r="G228" s="381">
        <v>0.1</v>
      </c>
      <c r="H228" s="381">
        <v>0.1</v>
      </c>
      <c r="I228" s="381">
        <v>0.1</v>
      </c>
      <c r="J228" s="381">
        <v>0.1</v>
      </c>
      <c r="K228" s="381">
        <v>0.05</v>
      </c>
      <c r="L228" s="381">
        <v>0.05</v>
      </c>
      <c r="M228" s="381">
        <v>0.05</v>
      </c>
      <c r="N228" s="382">
        <v>0.05</v>
      </c>
      <c r="O228" s="357"/>
      <c r="P228" s="357"/>
      <c r="Q228" s="357"/>
      <c r="R228" s="357"/>
      <c r="S228" s="357"/>
      <c r="X228" s="357"/>
      <c r="Y228" s="357"/>
      <c r="Z228" s="357"/>
      <c r="AA228" s="357"/>
      <c r="AB228" s="357"/>
      <c r="AC228" s="357"/>
      <c r="AD228" s="357"/>
      <c r="AE228" s="357"/>
      <c r="AF228" s="357"/>
      <c r="AG228" s="357"/>
      <c r="AH228" s="357"/>
      <c r="AI228" s="357"/>
      <c r="AJ228" s="357"/>
      <c r="AK228" s="357"/>
      <c r="AL228" s="357"/>
      <c r="AM228" s="357"/>
      <c r="AN228" s="357"/>
      <c r="AO228" s="357"/>
      <c r="AP228" s="357"/>
      <c r="AQ228" s="357"/>
      <c r="AR228" s="357"/>
      <c r="AS228" s="357"/>
      <c r="AT228" s="357"/>
      <c r="AU228" s="357"/>
      <c r="AV228" s="357"/>
      <c r="AW228" s="357"/>
      <c r="AX228" s="357"/>
      <c r="AY228" s="357"/>
      <c r="AZ228" s="357"/>
      <c r="BA228" s="357"/>
      <c r="BB228" s="357"/>
      <c r="BC228" s="357"/>
      <c r="BD228" s="357"/>
    </row>
    <row r="229" spans="1:56">
      <c r="A229" s="1002" t="s">
        <v>125</v>
      </c>
      <c r="B229" s="377" t="s">
        <v>136</v>
      </c>
      <c r="C229" s="381">
        <v>0.1</v>
      </c>
      <c r="D229" s="381">
        <v>0.1</v>
      </c>
      <c r="E229" s="381">
        <v>0.1</v>
      </c>
      <c r="F229" s="381">
        <v>0.1</v>
      </c>
      <c r="G229" s="381">
        <v>0.1</v>
      </c>
      <c r="H229" s="381">
        <v>0.1</v>
      </c>
      <c r="I229" s="381">
        <v>0.1</v>
      </c>
      <c r="J229" s="381">
        <v>0.1</v>
      </c>
      <c r="K229" s="381">
        <v>0.05</v>
      </c>
      <c r="L229" s="381">
        <v>0.05</v>
      </c>
      <c r="M229" s="381">
        <v>0.05</v>
      </c>
      <c r="N229" s="382">
        <v>0.05</v>
      </c>
      <c r="O229" s="357"/>
      <c r="P229" s="357"/>
      <c r="Q229" s="357"/>
      <c r="R229" s="357"/>
      <c r="S229" s="357"/>
      <c r="X229" s="357"/>
      <c r="Y229" s="357"/>
      <c r="Z229" s="357"/>
      <c r="AA229" s="357"/>
      <c r="AB229" s="357"/>
      <c r="AC229" s="357"/>
      <c r="AD229" s="357"/>
      <c r="AE229" s="357"/>
      <c r="AF229" s="357"/>
      <c r="AG229" s="357"/>
      <c r="AH229" s="357"/>
      <c r="AI229" s="357"/>
      <c r="AJ229" s="357"/>
      <c r="AK229" s="357"/>
      <c r="AL229" s="357"/>
      <c r="AM229" s="357"/>
      <c r="AN229" s="357"/>
      <c r="AO229" s="357"/>
      <c r="AP229" s="357"/>
      <c r="AQ229" s="357"/>
      <c r="AR229" s="357"/>
      <c r="AS229" s="357"/>
      <c r="AT229" s="357"/>
      <c r="AU229" s="357"/>
      <c r="AV229" s="357"/>
      <c r="AW229" s="357"/>
      <c r="AX229" s="357"/>
      <c r="AY229" s="357"/>
      <c r="AZ229" s="357"/>
      <c r="BA229" s="357"/>
      <c r="BB229" s="357"/>
      <c r="BC229" s="357"/>
      <c r="BD229" s="357"/>
    </row>
    <row r="230" spans="1:56">
      <c r="A230" s="1003"/>
      <c r="B230" s="377" t="s">
        <v>137</v>
      </c>
      <c r="C230" s="381">
        <v>0.1</v>
      </c>
      <c r="D230" s="381">
        <v>0.1</v>
      </c>
      <c r="E230" s="381">
        <v>0.1</v>
      </c>
      <c r="F230" s="381">
        <v>0.1</v>
      </c>
      <c r="G230" s="381">
        <v>0.1</v>
      </c>
      <c r="H230" s="381">
        <v>0.1</v>
      </c>
      <c r="I230" s="381">
        <v>0.1</v>
      </c>
      <c r="J230" s="381">
        <v>0.1</v>
      </c>
      <c r="K230" s="381">
        <v>0.05</v>
      </c>
      <c r="L230" s="381">
        <v>0.05</v>
      </c>
      <c r="M230" s="381">
        <v>0.05</v>
      </c>
      <c r="N230" s="382">
        <v>0.05</v>
      </c>
      <c r="O230" s="357"/>
      <c r="P230" s="357"/>
      <c r="Q230" s="357"/>
      <c r="R230" s="357"/>
      <c r="S230" s="357"/>
      <c r="X230" s="357"/>
      <c r="Y230" s="357"/>
      <c r="Z230" s="357"/>
      <c r="AA230" s="357"/>
      <c r="AB230" s="357"/>
      <c r="AC230" s="357"/>
      <c r="AD230" s="357"/>
      <c r="AE230" s="357"/>
      <c r="AF230" s="357"/>
      <c r="AG230" s="357"/>
      <c r="AH230" s="357"/>
      <c r="AI230" s="357"/>
      <c r="AJ230" s="357"/>
      <c r="AK230" s="357"/>
      <c r="AL230" s="357"/>
      <c r="AM230" s="357"/>
      <c r="AN230" s="357"/>
      <c r="AO230" s="357"/>
      <c r="AP230" s="357"/>
      <c r="AQ230" s="357"/>
      <c r="AR230" s="357"/>
      <c r="AS230" s="357"/>
      <c r="AT230" s="357"/>
      <c r="AU230" s="357"/>
      <c r="AV230" s="357"/>
      <c r="AW230" s="357"/>
      <c r="AX230" s="357"/>
      <c r="AY230" s="357"/>
      <c r="AZ230" s="357"/>
      <c r="BA230" s="357"/>
      <c r="BB230" s="357"/>
      <c r="BC230" s="357"/>
      <c r="BD230" s="357"/>
    </row>
    <row r="231" spans="1:56">
      <c r="A231" s="412" t="s">
        <v>253</v>
      </c>
      <c r="B231" s="377" t="s">
        <v>138</v>
      </c>
      <c r="C231" s="381">
        <v>0.1</v>
      </c>
      <c r="D231" s="381">
        <v>0.1</v>
      </c>
      <c r="E231" s="381">
        <v>0.1</v>
      </c>
      <c r="F231" s="381">
        <v>0.1</v>
      </c>
      <c r="G231" s="381">
        <v>0.1</v>
      </c>
      <c r="H231" s="381">
        <v>0.1</v>
      </c>
      <c r="I231" s="381">
        <v>0.1</v>
      </c>
      <c r="J231" s="381">
        <v>0.1</v>
      </c>
      <c r="K231" s="381">
        <v>0.05</v>
      </c>
      <c r="L231" s="381">
        <v>0.05</v>
      </c>
      <c r="M231" s="381">
        <v>0.05</v>
      </c>
      <c r="N231" s="382">
        <v>0.05</v>
      </c>
      <c r="O231" s="357"/>
      <c r="P231" s="357"/>
      <c r="Q231" s="357"/>
      <c r="R231" s="357"/>
      <c r="S231" s="357"/>
      <c r="X231" s="357"/>
      <c r="Y231" s="357"/>
      <c r="Z231" s="357"/>
      <c r="AA231" s="357"/>
      <c r="AB231" s="357"/>
      <c r="AC231" s="357"/>
      <c r="AD231" s="357"/>
      <c r="AE231" s="357"/>
      <c r="AF231" s="357"/>
      <c r="AG231" s="357"/>
      <c r="AH231" s="357"/>
      <c r="AI231" s="357"/>
      <c r="AJ231" s="357"/>
      <c r="AK231" s="357"/>
      <c r="AL231" s="357"/>
      <c r="AM231" s="357"/>
      <c r="AN231" s="357"/>
      <c r="AO231" s="357"/>
      <c r="AP231" s="357"/>
      <c r="AQ231" s="357"/>
      <c r="AR231" s="357"/>
      <c r="AS231" s="357"/>
      <c r="AT231" s="357"/>
      <c r="AU231" s="357"/>
      <c r="AV231" s="357"/>
      <c r="AW231" s="357"/>
      <c r="AX231" s="357"/>
      <c r="AY231" s="357"/>
      <c r="AZ231" s="357"/>
      <c r="BA231" s="357"/>
      <c r="BB231" s="357"/>
      <c r="BC231" s="357"/>
      <c r="BD231" s="357"/>
    </row>
    <row r="232" spans="1:56">
      <c r="A232" s="1004" t="s">
        <v>252</v>
      </c>
      <c r="B232" s="377" t="s">
        <v>141</v>
      </c>
      <c r="C232" s="381">
        <v>0.1</v>
      </c>
      <c r="D232" s="381">
        <v>0.1</v>
      </c>
      <c r="E232" s="381">
        <v>0.1</v>
      </c>
      <c r="F232" s="381">
        <v>0.1</v>
      </c>
      <c r="G232" s="381">
        <v>0.1</v>
      </c>
      <c r="H232" s="381">
        <v>0.1</v>
      </c>
      <c r="I232" s="381">
        <v>0.1</v>
      </c>
      <c r="J232" s="381">
        <v>0.1</v>
      </c>
      <c r="K232" s="381">
        <v>0.05</v>
      </c>
      <c r="L232" s="381">
        <v>0.05</v>
      </c>
      <c r="M232" s="381">
        <v>0.05</v>
      </c>
      <c r="N232" s="382">
        <v>0.05</v>
      </c>
      <c r="O232" s="357"/>
      <c r="P232" s="357"/>
      <c r="Q232" s="357"/>
      <c r="R232" s="357"/>
      <c r="S232" s="357"/>
      <c r="X232" s="357"/>
      <c r="Y232" s="357"/>
      <c r="Z232" s="357"/>
      <c r="AA232" s="357"/>
      <c r="AB232" s="357"/>
      <c r="AC232" s="357"/>
      <c r="AD232" s="357"/>
      <c r="AE232" s="357"/>
      <c r="AF232" s="357"/>
      <c r="AG232" s="357"/>
      <c r="AH232" s="357"/>
      <c r="AI232" s="357"/>
      <c r="AJ232" s="357"/>
      <c r="AK232" s="357"/>
      <c r="AL232" s="357"/>
      <c r="AM232" s="357"/>
      <c r="AN232" s="357"/>
      <c r="AO232" s="357"/>
      <c r="AP232" s="357"/>
      <c r="AQ232" s="357"/>
      <c r="AR232" s="357"/>
      <c r="AS232" s="357"/>
      <c r="AT232" s="357"/>
      <c r="AU232" s="357"/>
      <c r="AV232" s="357"/>
      <c r="AW232" s="357"/>
      <c r="AX232" s="357"/>
      <c r="AY232" s="357"/>
      <c r="AZ232" s="357"/>
      <c r="BA232" s="357"/>
      <c r="BB232" s="357"/>
      <c r="BC232" s="357"/>
      <c r="BD232" s="357"/>
    </row>
    <row r="233" spans="1:56">
      <c r="A233" s="1004"/>
      <c r="B233" s="377" t="s">
        <v>142</v>
      </c>
      <c r="C233" s="381">
        <v>0.1</v>
      </c>
      <c r="D233" s="381">
        <v>0.1</v>
      </c>
      <c r="E233" s="381">
        <v>0.1</v>
      </c>
      <c r="F233" s="381">
        <v>0.1</v>
      </c>
      <c r="G233" s="381">
        <v>0.1</v>
      </c>
      <c r="H233" s="381">
        <v>0.1</v>
      </c>
      <c r="I233" s="381">
        <v>0.1</v>
      </c>
      <c r="J233" s="381">
        <v>0.1</v>
      </c>
      <c r="K233" s="381">
        <v>0.05</v>
      </c>
      <c r="L233" s="381">
        <v>0.05</v>
      </c>
      <c r="M233" s="381">
        <v>0.05</v>
      </c>
      <c r="N233" s="382">
        <v>0.05</v>
      </c>
      <c r="O233" s="357"/>
      <c r="P233" s="357"/>
      <c r="Q233" s="357"/>
      <c r="R233" s="357"/>
      <c r="S233" s="357"/>
      <c r="X233" s="357"/>
      <c r="Y233" s="357"/>
      <c r="Z233" s="357"/>
      <c r="AA233" s="357"/>
      <c r="AB233" s="357"/>
      <c r="AC233" s="357"/>
      <c r="AD233" s="357"/>
      <c r="AE233" s="357"/>
      <c r="AF233" s="357"/>
      <c r="AG233" s="357"/>
      <c r="AH233" s="357"/>
      <c r="AI233" s="357"/>
      <c r="AJ233" s="357"/>
      <c r="AK233" s="357"/>
      <c r="AL233" s="357"/>
      <c r="AM233" s="357"/>
      <c r="AN233" s="357"/>
      <c r="AO233" s="357"/>
      <c r="AP233" s="357"/>
      <c r="AQ233" s="357"/>
      <c r="AR233" s="357"/>
      <c r="AS233" s="357"/>
      <c r="AT233" s="357"/>
      <c r="AU233" s="357"/>
      <c r="AV233" s="357"/>
      <c r="AW233" s="357"/>
      <c r="AX233" s="357"/>
      <c r="AY233" s="357"/>
      <c r="AZ233" s="357"/>
      <c r="BA233" s="357"/>
      <c r="BB233" s="357"/>
      <c r="BC233" s="357"/>
      <c r="BD233" s="357"/>
    </row>
    <row r="234" spans="1:56" ht="16.5" thickBot="1">
      <c r="A234" s="1005"/>
      <c r="B234" s="383" t="s">
        <v>131</v>
      </c>
      <c r="C234" s="384">
        <v>0.1</v>
      </c>
      <c r="D234" s="384">
        <v>0.1</v>
      </c>
      <c r="E234" s="384">
        <v>0.1</v>
      </c>
      <c r="F234" s="384">
        <v>0.1</v>
      </c>
      <c r="G234" s="384">
        <v>0.1</v>
      </c>
      <c r="H234" s="384">
        <v>0.1</v>
      </c>
      <c r="I234" s="384">
        <v>0.1</v>
      </c>
      <c r="J234" s="384">
        <v>0.1</v>
      </c>
      <c r="K234" s="384">
        <v>0.05</v>
      </c>
      <c r="L234" s="384">
        <v>0.05</v>
      </c>
      <c r="M234" s="384">
        <v>0.05</v>
      </c>
      <c r="N234" s="385">
        <v>0.05</v>
      </c>
      <c r="O234" s="357"/>
      <c r="P234" s="357"/>
      <c r="Q234" s="357"/>
      <c r="R234" s="357"/>
      <c r="S234" s="357"/>
      <c r="X234" s="357"/>
      <c r="Y234" s="357"/>
      <c r="Z234" s="357"/>
      <c r="AA234" s="357"/>
      <c r="AB234" s="357"/>
      <c r="AC234" s="357"/>
      <c r="AD234" s="357"/>
      <c r="AE234" s="357"/>
      <c r="AF234" s="357"/>
      <c r="AG234" s="357"/>
      <c r="AH234" s="357"/>
      <c r="AI234" s="357"/>
      <c r="AJ234" s="357"/>
      <c r="AK234" s="357"/>
      <c r="AL234" s="357"/>
      <c r="AM234" s="357"/>
      <c r="AN234" s="357"/>
      <c r="AO234" s="357"/>
      <c r="AP234" s="357"/>
      <c r="AQ234" s="357"/>
      <c r="AR234" s="357"/>
      <c r="AS234" s="357"/>
      <c r="AT234" s="357"/>
      <c r="AU234" s="357"/>
      <c r="AV234" s="357"/>
      <c r="AW234" s="357"/>
      <c r="AX234" s="357"/>
      <c r="AY234" s="357"/>
      <c r="AZ234" s="357"/>
      <c r="BA234" s="357"/>
      <c r="BB234" s="357"/>
      <c r="BC234" s="357"/>
      <c r="BD234" s="357"/>
    </row>
    <row r="235" spans="1:56">
      <c r="G235" s="357"/>
      <c r="H235" s="357"/>
      <c r="I235" s="357"/>
      <c r="J235" s="357"/>
      <c r="K235" s="357"/>
      <c r="L235" s="357"/>
      <c r="M235" s="357"/>
      <c r="N235" s="357"/>
      <c r="O235" s="357"/>
      <c r="P235" s="357"/>
      <c r="Q235" s="357"/>
      <c r="R235" s="357"/>
      <c r="S235" s="357"/>
      <c r="X235" s="357"/>
      <c r="Y235" s="357"/>
      <c r="Z235" s="357"/>
      <c r="AA235" s="357"/>
      <c r="AB235" s="357"/>
      <c r="AC235" s="357"/>
      <c r="AD235" s="357"/>
      <c r="AE235" s="357"/>
      <c r="AF235" s="357"/>
      <c r="AG235" s="357"/>
      <c r="AH235" s="357"/>
      <c r="AI235" s="357"/>
      <c r="AJ235" s="357"/>
      <c r="AK235" s="357"/>
      <c r="AL235" s="357"/>
      <c r="AM235" s="357"/>
      <c r="AN235" s="357"/>
      <c r="AO235" s="357"/>
      <c r="AP235" s="357"/>
      <c r="AQ235" s="357"/>
      <c r="AR235" s="357"/>
      <c r="AS235" s="357"/>
      <c r="AT235" s="357"/>
      <c r="AU235" s="357"/>
      <c r="AV235" s="357"/>
      <c r="AW235" s="357"/>
      <c r="AX235" s="357"/>
      <c r="AY235" s="357"/>
      <c r="AZ235" s="357"/>
      <c r="BA235" s="357"/>
      <c r="BB235" s="357"/>
      <c r="BC235" s="357"/>
      <c r="BD235" s="357"/>
    </row>
    <row r="236" spans="1:56" ht="16.5" thickBot="1">
      <c r="G236" s="357"/>
      <c r="H236" s="357"/>
      <c r="I236" s="357"/>
      <c r="J236" s="357"/>
      <c r="K236" s="357"/>
      <c r="L236" s="357"/>
      <c r="M236" s="357"/>
      <c r="N236" s="357"/>
      <c r="O236" s="357"/>
      <c r="P236" s="357"/>
      <c r="Q236" s="357"/>
      <c r="R236" s="357"/>
      <c r="S236" s="357"/>
      <c r="X236" s="357"/>
      <c r="Y236" s="357"/>
      <c r="Z236" s="357"/>
      <c r="AA236" s="357"/>
      <c r="AB236" s="357"/>
      <c r="AC236" s="357"/>
      <c r="AD236" s="357"/>
      <c r="AE236" s="357"/>
      <c r="AF236" s="357"/>
      <c r="AG236" s="357"/>
      <c r="AH236" s="357"/>
      <c r="AI236" s="357"/>
      <c r="AJ236" s="357"/>
      <c r="AK236" s="357"/>
      <c r="AL236" s="357"/>
      <c r="AM236" s="357"/>
      <c r="AN236" s="357"/>
      <c r="AO236" s="357"/>
      <c r="AP236" s="357"/>
      <c r="AQ236" s="357"/>
      <c r="AR236" s="357"/>
      <c r="AS236" s="357"/>
      <c r="AT236" s="357"/>
      <c r="AU236" s="357"/>
      <c r="AV236" s="357"/>
      <c r="AW236" s="357"/>
      <c r="AX236" s="357"/>
      <c r="AY236" s="357"/>
      <c r="AZ236" s="357"/>
      <c r="BA236" s="357"/>
      <c r="BB236" s="357"/>
      <c r="BC236" s="357"/>
      <c r="BD236" s="357"/>
    </row>
    <row r="237" spans="1:56" ht="16.5" thickBot="1">
      <c r="A237" s="1006" t="s">
        <v>318</v>
      </c>
      <c r="B237" s="1009" t="s">
        <v>319</v>
      </c>
      <c r="C237" s="1012" t="s">
        <v>279</v>
      </c>
      <c r="D237" s="1013"/>
      <c r="E237" s="1013"/>
      <c r="F237" s="1013"/>
      <c r="G237" s="1013"/>
      <c r="H237" s="1013"/>
      <c r="I237" s="1013"/>
      <c r="J237" s="1013"/>
      <c r="K237" s="1013"/>
      <c r="L237" s="1013"/>
      <c r="M237" s="1013"/>
      <c r="N237" s="1013"/>
      <c r="O237" s="999" t="s">
        <v>280</v>
      </c>
      <c r="P237" s="1000"/>
      <c r="Q237" s="1000"/>
      <c r="R237" s="1001"/>
      <c r="S237" s="1043" t="s">
        <v>337</v>
      </c>
      <c r="T237" s="993" t="s">
        <v>435</v>
      </c>
      <c r="U237" s="993" t="s">
        <v>435</v>
      </c>
      <c r="V237" s="993" t="s">
        <v>435</v>
      </c>
      <c r="W237" s="993" t="s">
        <v>435</v>
      </c>
      <c r="X237" s="357"/>
      <c r="Y237" s="357"/>
      <c r="Z237" s="357"/>
      <c r="AA237" s="357"/>
      <c r="AB237" s="357"/>
      <c r="AC237" s="357"/>
      <c r="AD237" s="357"/>
      <c r="AE237" s="357"/>
      <c r="AF237" s="357"/>
      <c r="AG237" s="357"/>
      <c r="AH237" s="357"/>
      <c r="AI237" s="357"/>
      <c r="AJ237" s="357"/>
      <c r="AK237" s="357"/>
      <c r="AL237" s="357"/>
      <c r="AM237" s="357"/>
      <c r="AN237" s="357"/>
      <c r="AO237" s="357"/>
      <c r="AP237" s="357"/>
      <c r="AQ237" s="357"/>
      <c r="AR237" s="357"/>
      <c r="AS237" s="357"/>
      <c r="AT237" s="357"/>
      <c r="AU237" s="357"/>
      <c r="AV237" s="357"/>
      <c r="AW237" s="357"/>
      <c r="AX237" s="357"/>
      <c r="AY237" s="357"/>
      <c r="AZ237" s="357"/>
      <c r="BA237" s="357"/>
      <c r="BB237" s="357"/>
      <c r="BC237" s="357"/>
      <c r="BD237" s="357"/>
    </row>
    <row r="238" spans="1:56" ht="16.5" thickBot="1">
      <c r="A238" s="1007"/>
      <c r="B238" s="1010"/>
      <c r="C238" s="1014" t="s">
        <v>264</v>
      </c>
      <c r="D238" s="1015"/>
      <c r="E238" s="1016"/>
      <c r="F238" s="1014" t="s">
        <v>263</v>
      </c>
      <c r="G238" s="1015"/>
      <c r="H238" s="1016"/>
      <c r="I238" s="1014" t="s">
        <v>265</v>
      </c>
      <c r="J238" s="1015"/>
      <c r="K238" s="1016"/>
      <c r="L238" s="1014" t="s">
        <v>269</v>
      </c>
      <c r="M238" s="1015"/>
      <c r="N238" s="1015"/>
      <c r="O238" s="997" t="s">
        <v>264</v>
      </c>
      <c r="P238" s="997" t="s">
        <v>263</v>
      </c>
      <c r="Q238" s="997" t="s">
        <v>265</v>
      </c>
      <c r="R238" s="997" t="s">
        <v>269</v>
      </c>
      <c r="S238" s="1073"/>
      <c r="T238" s="994"/>
      <c r="U238" s="994"/>
      <c r="V238" s="994"/>
      <c r="W238" s="994"/>
      <c r="X238" s="357"/>
      <c r="Y238" s="357"/>
      <c r="Z238" s="357"/>
      <c r="AA238" s="357"/>
      <c r="AB238" s="357"/>
      <c r="AC238" s="357"/>
      <c r="AD238" s="357"/>
      <c r="AE238" s="357"/>
      <c r="AF238" s="357"/>
      <c r="AG238" s="357"/>
      <c r="AH238" s="357"/>
      <c r="AI238" s="357"/>
      <c r="AJ238" s="357"/>
      <c r="AK238" s="357"/>
      <c r="AL238" s="357"/>
      <c r="AM238" s="357"/>
      <c r="AN238" s="357"/>
      <c r="AO238" s="357"/>
      <c r="AP238" s="357"/>
      <c r="AQ238" s="357"/>
      <c r="AR238" s="357"/>
      <c r="AS238" s="357"/>
      <c r="AT238" s="357"/>
      <c r="AU238" s="357"/>
      <c r="AV238" s="357"/>
      <c r="AW238" s="357"/>
      <c r="AX238" s="357"/>
      <c r="AY238" s="357"/>
      <c r="AZ238" s="357"/>
      <c r="BA238" s="357"/>
      <c r="BB238" s="357"/>
      <c r="BC238" s="357"/>
      <c r="BD238" s="357"/>
    </row>
    <row r="239" spans="1:56" ht="16.5" thickBot="1">
      <c r="A239" s="1008"/>
      <c r="B239" s="1011"/>
      <c r="C239" s="391" t="s">
        <v>266</v>
      </c>
      <c r="D239" s="333" t="s">
        <v>267</v>
      </c>
      <c r="E239" s="334" t="s">
        <v>268</v>
      </c>
      <c r="F239" s="391" t="s">
        <v>266</v>
      </c>
      <c r="G239" s="333" t="s">
        <v>267</v>
      </c>
      <c r="H239" s="334" t="s">
        <v>268</v>
      </c>
      <c r="I239" s="391" t="s">
        <v>266</v>
      </c>
      <c r="J239" s="333" t="s">
        <v>267</v>
      </c>
      <c r="K239" s="334" t="s">
        <v>268</v>
      </c>
      <c r="L239" s="391" t="s">
        <v>266</v>
      </c>
      <c r="M239" s="333" t="s">
        <v>267</v>
      </c>
      <c r="N239" s="392" t="s">
        <v>268</v>
      </c>
      <c r="O239" s="998"/>
      <c r="P239" s="998"/>
      <c r="Q239" s="998"/>
      <c r="R239" s="998"/>
      <c r="S239" s="1073"/>
      <c r="T239" s="996"/>
      <c r="U239" s="996"/>
      <c r="V239" s="996"/>
      <c r="W239" s="996"/>
      <c r="X239" s="357"/>
      <c r="Y239" s="357"/>
      <c r="Z239" s="357"/>
      <c r="AA239" s="357"/>
      <c r="AB239" s="357"/>
      <c r="AC239" s="357"/>
      <c r="AD239" s="357"/>
      <c r="AE239" s="357"/>
      <c r="AF239" s="357"/>
      <c r="AG239" s="357"/>
      <c r="AH239" s="357"/>
      <c r="AI239" s="357"/>
      <c r="AJ239" s="357"/>
      <c r="AK239" s="357"/>
      <c r="AL239" s="357"/>
      <c r="AM239" s="357"/>
      <c r="AN239" s="357"/>
      <c r="AO239" s="357"/>
      <c r="AP239" s="357"/>
      <c r="AQ239" s="357"/>
      <c r="AR239" s="357"/>
      <c r="AS239" s="357"/>
      <c r="AT239" s="357"/>
      <c r="AU239" s="357"/>
      <c r="AV239" s="357"/>
      <c r="AW239" s="357"/>
      <c r="AX239" s="357"/>
      <c r="AY239" s="357"/>
      <c r="AZ239" s="357"/>
      <c r="BA239" s="357"/>
      <c r="BB239" s="357"/>
      <c r="BC239" s="357"/>
      <c r="BD239" s="357"/>
    </row>
    <row r="240" spans="1:56">
      <c r="A240" s="1058" t="s">
        <v>124</v>
      </c>
      <c r="B240" s="374" t="s">
        <v>128</v>
      </c>
      <c r="C240" s="394">
        <v>75</v>
      </c>
      <c r="D240" s="395">
        <v>76</v>
      </c>
      <c r="E240" s="396">
        <v>78</v>
      </c>
      <c r="F240" s="394">
        <v>110</v>
      </c>
      <c r="G240" s="395">
        <v>112</v>
      </c>
      <c r="H240" s="396">
        <v>114</v>
      </c>
      <c r="I240" s="394">
        <v>95</v>
      </c>
      <c r="J240" s="395">
        <v>98</v>
      </c>
      <c r="K240" s="396">
        <v>99</v>
      </c>
      <c r="L240" s="394">
        <v>70</v>
      </c>
      <c r="M240" s="395">
        <v>70</v>
      </c>
      <c r="N240" s="397">
        <v>70</v>
      </c>
      <c r="O240" s="455">
        <f>IFERROR(ROUND((AVERAGE(C240:E240))*(1+$S240),0),0)</f>
        <v>80</v>
      </c>
      <c r="P240" s="455">
        <f>IFERROR(ROUND((AVERAGE(D240:F240))*(1+$S240),0),0)</f>
        <v>92</v>
      </c>
      <c r="Q240" s="455">
        <f>IFERROR(ROUND((AVERAGE(E240:G240))*(1+$S240),0),0)</f>
        <v>105</v>
      </c>
      <c r="R240" s="455">
        <f>IFERROR(ROUND((AVERAGE(F240:H240))*(1+$S240),0),0)</f>
        <v>118</v>
      </c>
      <c r="S240" s="402">
        <v>0.05</v>
      </c>
      <c r="T240" s="588">
        <v>0.1</v>
      </c>
      <c r="U240" s="375">
        <v>0.08</v>
      </c>
      <c r="V240" s="375">
        <v>0.1</v>
      </c>
      <c r="W240" s="423">
        <v>0.1</v>
      </c>
      <c r="X240" s="357"/>
      <c r="Y240" s="357"/>
      <c r="Z240" s="357"/>
      <c r="AA240" s="357"/>
      <c r="AB240" s="357"/>
      <c r="AC240" s="357"/>
      <c r="AD240" s="357"/>
      <c r="AE240" s="357"/>
      <c r="AF240" s="357"/>
      <c r="AG240" s="357"/>
      <c r="AH240" s="357"/>
      <c r="AI240" s="357"/>
      <c r="AJ240" s="357"/>
      <c r="AK240" s="357"/>
      <c r="AL240" s="357"/>
      <c r="AM240" s="357"/>
      <c r="AN240" s="357"/>
      <c r="AO240" s="357"/>
      <c r="AP240" s="357"/>
      <c r="AQ240" s="357"/>
      <c r="AR240" s="357"/>
      <c r="AS240" s="357"/>
      <c r="AT240" s="357"/>
      <c r="AU240" s="357"/>
      <c r="AV240" s="357"/>
      <c r="AW240" s="357"/>
      <c r="AX240" s="357"/>
      <c r="AY240" s="357"/>
      <c r="AZ240" s="357"/>
      <c r="BA240" s="357"/>
      <c r="BB240" s="357"/>
      <c r="BC240" s="357"/>
      <c r="BD240" s="357"/>
    </row>
    <row r="241" spans="1:56">
      <c r="A241" s="1004"/>
      <c r="B241" s="377" t="s">
        <v>129</v>
      </c>
      <c r="C241" s="400">
        <v>75</v>
      </c>
      <c r="D241" s="377">
        <v>75</v>
      </c>
      <c r="E241" s="379">
        <v>75</v>
      </c>
      <c r="F241" s="400">
        <v>75</v>
      </c>
      <c r="G241" s="377">
        <v>75</v>
      </c>
      <c r="H241" s="379">
        <v>75</v>
      </c>
      <c r="I241" s="400">
        <v>75</v>
      </c>
      <c r="J241" s="377">
        <v>75</v>
      </c>
      <c r="K241" s="379">
        <v>75</v>
      </c>
      <c r="L241" s="400">
        <v>75</v>
      </c>
      <c r="M241" s="377">
        <v>75</v>
      </c>
      <c r="N241" s="401">
        <v>75</v>
      </c>
      <c r="O241" s="455">
        <f t="shared" ref="O241:R241" si="13">IFERROR(ROUND((AVERAGE(C241:E241))*(1+$S241),0),0)</f>
        <v>79</v>
      </c>
      <c r="P241" s="455">
        <f t="shared" si="13"/>
        <v>79</v>
      </c>
      <c r="Q241" s="455">
        <f t="shared" si="13"/>
        <v>79</v>
      </c>
      <c r="R241" s="455">
        <f t="shared" si="13"/>
        <v>79</v>
      </c>
      <c r="S241" s="402">
        <v>0.05</v>
      </c>
      <c r="T241" s="589">
        <v>0.25</v>
      </c>
      <c r="U241" s="378">
        <v>0.1</v>
      </c>
      <c r="V241" s="378">
        <v>0.15</v>
      </c>
      <c r="W241" s="380">
        <v>0.15</v>
      </c>
      <c r="X241" s="357"/>
      <c r="Y241" s="357"/>
      <c r="Z241" s="357"/>
      <c r="AA241" s="357"/>
      <c r="AB241" s="357"/>
      <c r="AC241" s="357"/>
      <c r="AD241" s="357"/>
      <c r="AE241" s="357"/>
      <c r="AF241" s="357"/>
      <c r="AG241" s="357"/>
      <c r="AH241" s="357"/>
      <c r="AI241" s="357"/>
      <c r="AJ241" s="357"/>
      <c r="AK241" s="357"/>
      <c r="AL241" s="357"/>
      <c r="AM241" s="357"/>
      <c r="AN241" s="357"/>
      <c r="AO241" s="357"/>
      <c r="AP241" s="357"/>
      <c r="AQ241" s="357"/>
      <c r="AR241" s="357"/>
      <c r="AS241" s="357"/>
      <c r="AT241" s="357"/>
      <c r="AU241" s="357"/>
      <c r="AV241" s="357"/>
      <c r="AW241" s="357"/>
      <c r="AX241" s="357"/>
      <c r="AY241" s="357"/>
      <c r="AZ241" s="357"/>
      <c r="BA241" s="357"/>
      <c r="BB241" s="357"/>
      <c r="BC241" s="357"/>
      <c r="BD241" s="357"/>
    </row>
    <row r="242" spans="1:56">
      <c r="A242" s="1004"/>
      <c r="B242" s="377" t="s">
        <v>130</v>
      </c>
      <c r="C242" s="400">
        <v>60</v>
      </c>
      <c r="D242" s="377">
        <v>60</v>
      </c>
      <c r="E242" s="379">
        <v>60</v>
      </c>
      <c r="F242" s="400">
        <v>60</v>
      </c>
      <c r="G242" s="377">
        <v>60</v>
      </c>
      <c r="H242" s="379">
        <v>60</v>
      </c>
      <c r="I242" s="400">
        <v>60</v>
      </c>
      <c r="J242" s="377">
        <v>60</v>
      </c>
      <c r="K242" s="379">
        <v>60</v>
      </c>
      <c r="L242" s="400">
        <v>60</v>
      </c>
      <c r="M242" s="377">
        <v>60</v>
      </c>
      <c r="N242" s="401">
        <v>60</v>
      </c>
      <c r="O242" s="455">
        <f t="shared" ref="O242:O256" si="14">IFERROR(ROUND((AVERAGE(C242:E242))*(1+$S242),0),0)</f>
        <v>63</v>
      </c>
      <c r="P242" s="455">
        <f t="shared" ref="P242:P256" si="15">IFERROR(ROUND((AVERAGE(D242:F242))*(1+$S242),0),0)</f>
        <v>63</v>
      </c>
      <c r="Q242" s="455">
        <f t="shared" ref="Q242:Q256" si="16">IFERROR(ROUND((AVERAGE(E242:G242))*(1+$S242),0),0)</f>
        <v>63</v>
      </c>
      <c r="R242" s="455">
        <f t="shared" ref="R242:R256" si="17">IFERROR(ROUND((AVERAGE(F242:H242))*(1+$S242),0),0)</f>
        <v>63</v>
      </c>
      <c r="S242" s="402">
        <v>0.05</v>
      </c>
      <c r="T242" s="589">
        <v>0.2</v>
      </c>
      <c r="U242" s="378">
        <v>0.2</v>
      </c>
      <c r="V242" s="378">
        <v>0.2</v>
      </c>
      <c r="W242" s="380">
        <v>0.2</v>
      </c>
      <c r="X242" s="357"/>
      <c r="Y242" s="357"/>
      <c r="Z242" s="357"/>
      <c r="AA242" s="357"/>
      <c r="AB242" s="357"/>
      <c r="AC242" s="357"/>
      <c r="AD242" s="357"/>
      <c r="AE242" s="357"/>
      <c r="AF242" s="357"/>
      <c r="AG242" s="357"/>
      <c r="AH242" s="357"/>
      <c r="AI242" s="357"/>
      <c r="AJ242" s="357"/>
      <c r="AK242" s="357"/>
      <c r="AL242" s="357"/>
      <c r="AM242" s="357"/>
      <c r="AN242" s="357"/>
      <c r="AO242" s="357"/>
      <c r="AP242" s="357"/>
      <c r="AQ242" s="357"/>
      <c r="AR242" s="357"/>
      <c r="AS242" s="357"/>
      <c r="AT242" s="357"/>
      <c r="AU242" s="357"/>
      <c r="AV242" s="357"/>
      <c r="AW242" s="357"/>
      <c r="AX242" s="357"/>
      <c r="AY242" s="357"/>
      <c r="AZ242" s="357"/>
      <c r="BA242" s="357"/>
      <c r="BB242" s="357"/>
      <c r="BC242" s="357"/>
      <c r="BD242" s="357"/>
    </row>
    <row r="243" spans="1:56">
      <c r="A243" s="1003"/>
      <c r="B243" s="244">
        <v>1010</v>
      </c>
      <c r="C243" s="400">
        <v>30</v>
      </c>
      <c r="D243" s="377">
        <v>30</v>
      </c>
      <c r="E243" s="379">
        <v>30</v>
      </c>
      <c r="F243" s="400">
        <v>30</v>
      </c>
      <c r="G243" s="377">
        <v>30</v>
      </c>
      <c r="H243" s="379">
        <v>30</v>
      </c>
      <c r="I243" s="400">
        <v>30</v>
      </c>
      <c r="J243" s="377">
        <v>30</v>
      </c>
      <c r="K243" s="379">
        <v>30</v>
      </c>
      <c r="L243" s="400">
        <v>30</v>
      </c>
      <c r="M243" s="377">
        <v>30</v>
      </c>
      <c r="N243" s="401">
        <v>30</v>
      </c>
      <c r="O243" s="455">
        <f t="shared" si="14"/>
        <v>32</v>
      </c>
      <c r="P243" s="455">
        <f t="shared" si="15"/>
        <v>32</v>
      </c>
      <c r="Q243" s="455">
        <f t="shared" si="16"/>
        <v>32</v>
      </c>
      <c r="R243" s="455">
        <f t="shared" si="17"/>
        <v>32</v>
      </c>
      <c r="S243" s="402">
        <v>0.05</v>
      </c>
      <c r="T243" s="589">
        <v>0.25</v>
      </c>
      <c r="U243" s="378">
        <v>0.25</v>
      </c>
      <c r="V243" s="378">
        <v>0.25</v>
      </c>
      <c r="W243" s="380">
        <v>0.25</v>
      </c>
      <c r="X243" s="357"/>
      <c r="Y243" s="357"/>
      <c r="Z243" s="357"/>
      <c r="AA243" s="357"/>
      <c r="AB243" s="357"/>
      <c r="AC243" s="357"/>
      <c r="AD243" s="357"/>
      <c r="AE243" s="357"/>
      <c r="AF243" s="357"/>
      <c r="AG243" s="357"/>
      <c r="AH243" s="357"/>
      <c r="AI243" s="357"/>
      <c r="AJ243" s="357"/>
      <c r="AK243" s="357"/>
      <c r="AL243" s="357"/>
      <c r="AM243" s="357"/>
      <c r="AN243" s="357"/>
      <c r="AO243" s="357"/>
      <c r="AP243" s="357"/>
      <c r="AQ243" s="357"/>
      <c r="AR243" s="357"/>
      <c r="AS243" s="357"/>
      <c r="AT243" s="357"/>
      <c r="AU243" s="357"/>
      <c r="AV243" s="357"/>
      <c r="AW243" s="357"/>
      <c r="AX243" s="357"/>
      <c r="AY243" s="357"/>
      <c r="AZ243" s="357"/>
      <c r="BA243" s="357"/>
      <c r="BB243" s="357"/>
      <c r="BC243" s="357"/>
      <c r="BD243" s="357"/>
    </row>
    <row r="244" spans="1:56">
      <c r="A244" s="1002" t="s">
        <v>180</v>
      </c>
      <c r="B244" s="377" t="s">
        <v>131</v>
      </c>
      <c r="C244" s="400">
        <v>91</v>
      </c>
      <c r="D244" s="377">
        <v>91</v>
      </c>
      <c r="E244" s="379">
        <v>91</v>
      </c>
      <c r="F244" s="400">
        <v>91</v>
      </c>
      <c r="G244" s="377">
        <v>91</v>
      </c>
      <c r="H244" s="379">
        <v>91</v>
      </c>
      <c r="I244" s="400">
        <v>91</v>
      </c>
      <c r="J244" s="377">
        <v>91</v>
      </c>
      <c r="K244" s="379">
        <v>91</v>
      </c>
      <c r="L244" s="400">
        <v>91</v>
      </c>
      <c r="M244" s="377">
        <v>91</v>
      </c>
      <c r="N244" s="401">
        <v>91</v>
      </c>
      <c r="O244" s="455">
        <f t="shared" si="14"/>
        <v>96</v>
      </c>
      <c r="P244" s="455">
        <f t="shared" si="15"/>
        <v>96</v>
      </c>
      <c r="Q244" s="455">
        <f t="shared" si="16"/>
        <v>96</v>
      </c>
      <c r="R244" s="455">
        <f t="shared" si="17"/>
        <v>96</v>
      </c>
      <c r="S244" s="402">
        <v>0.05</v>
      </c>
      <c r="T244" s="589">
        <v>0.15</v>
      </c>
      <c r="U244" s="378">
        <v>0.15</v>
      </c>
      <c r="V244" s="378">
        <v>0.15</v>
      </c>
      <c r="W244" s="380">
        <v>0.15</v>
      </c>
      <c r="X244" s="357"/>
      <c r="Y244" s="357"/>
      <c r="Z244" s="357"/>
      <c r="AA244" s="357"/>
      <c r="AB244" s="357"/>
      <c r="AC244" s="357"/>
      <c r="AD244" s="357"/>
      <c r="AE244" s="357"/>
      <c r="AF244" s="357"/>
      <c r="AG244" s="357"/>
      <c r="AH244" s="357"/>
      <c r="AI244" s="357"/>
      <c r="AJ244" s="357"/>
      <c r="AK244" s="357"/>
      <c r="AL244" s="357"/>
      <c r="AM244" s="357"/>
      <c r="AN244" s="357"/>
      <c r="AO244" s="357"/>
      <c r="AP244" s="357"/>
      <c r="AQ244" s="357"/>
      <c r="AR244" s="357"/>
      <c r="AS244" s="357"/>
      <c r="AT244" s="357"/>
      <c r="AU244" s="357"/>
      <c r="AV244" s="357"/>
      <c r="AW244" s="357"/>
      <c r="AX244" s="357"/>
      <c r="AY244" s="357"/>
      <c r="AZ244" s="357"/>
      <c r="BA244" s="357"/>
      <c r="BB244" s="357"/>
      <c r="BC244" s="357"/>
      <c r="BD244" s="357"/>
    </row>
    <row r="245" spans="1:56">
      <c r="A245" s="1004"/>
      <c r="B245" s="377" t="s">
        <v>132</v>
      </c>
      <c r="C245" s="400">
        <v>40</v>
      </c>
      <c r="D245" s="377">
        <v>40</v>
      </c>
      <c r="E245" s="379">
        <v>40</v>
      </c>
      <c r="F245" s="400">
        <v>40</v>
      </c>
      <c r="G245" s="377">
        <v>40</v>
      </c>
      <c r="H245" s="379">
        <v>40</v>
      </c>
      <c r="I245" s="400">
        <v>40</v>
      </c>
      <c r="J245" s="377">
        <v>40</v>
      </c>
      <c r="K245" s="379">
        <v>40</v>
      </c>
      <c r="L245" s="400">
        <v>40</v>
      </c>
      <c r="M245" s="377">
        <v>40</v>
      </c>
      <c r="N245" s="401">
        <v>40</v>
      </c>
      <c r="O245" s="455">
        <f t="shared" si="14"/>
        <v>42</v>
      </c>
      <c r="P245" s="455">
        <f t="shared" si="15"/>
        <v>42</v>
      </c>
      <c r="Q245" s="455">
        <f t="shared" si="16"/>
        <v>42</v>
      </c>
      <c r="R245" s="455">
        <f t="shared" si="17"/>
        <v>42</v>
      </c>
      <c r="S245" s="402">
        <v>0.05</v>
      </c>
      <c r="T245" s="589">
        <v>0.25</v>
      </c>
      <c r="U245" s="378">
        <v>0.1</v>
      </c>
      <c r="V245" s="378">
        <v>0.1</v>
      </c>
      <c r="W245" s="380">
        <v>0.1</v>
      </c>
      <c r="X245" s="357"/>
      <c r="Y245" s="357"/>
      <c r="Z245" s="357"/>
      <c r="AA245" s="357"/>
      <c r="AB245" s="357"/>
      <c r="AC245" s="357"/>
      <c r="AD245" s="357"/>
      <c r="AE245" s="357"/>
      <c r="AF245" s="357"/>
      <c r="AG245" s="357"/>
      <c r="AH245" s="357"/>
      <c r="AI245" s="357"/>
      <c r="AJ245" s="357"/>
      <c r="AK245" s="357"/>
      <c r="AL245" s="357"/>
      <c r="AM245" s="357"/>
      <c r="AN245" s="357"/>
      <c r="AO245" s="357"/>
      <c r="AP245" s="357"/>
      <c r="AQ245" s="357"/>
      <c r="AR245" s="357"/>
      <c r="AS245" s="357"/>
      <c r="AT245" s="357"/>
      <c r="AU245" s="357"/>
      <c r="AV245" s="357"/>
      <c r="AW245" s="357"/>
      <c r="AX245" s="357"/>
      <c r="AY245" s="357"/>
      <c r="AZ245" s="357"/>
      <c r="BA245" s="357"/>
      <c r="BB245" s="357"/>
      <c r="BC245" s="357"/>
      <c r="BD245" s="357"/>
    </row>
    <row r="246" spans="1:56">
      <c r="A246" s="1004"/>
      <c r="B246" s="377" t="s">
        <v>133</v>
      </c>
      <c r="C246" s="400">
        <v>86</v>
      </c>
      <c r="D246" s="377">
        <v>86</v>
      </c>
      <c r="E246" s="379">
        <v>86</v>
      </c>
      <c r="F246" s="400">
        <v>86</v>
      </c>
      <c r="G246" s="377">
        <v>86</v>
      </c>
      <c r="H246" s="379">
        <v>86</v>
      </c>
      <c r="I246" s="400">
        <v>86</v>
      </c>
      <c r="J246" s="377">
        <v>86</v>
      </c>
      <c r="K246" s="379">
        <v>86</v>
      </c>
      <c r="L246" s="400">
        <v>86</v>
      </c>
      <c r="M246" s="377">
        <v>86</v>
      </c>
      <c r="N246" s="401">
        <v>86</v>
      </c>
      <c r="O246" s="455">
        <f t="shared" si="14"/>
        <v>90</v>
      </c>
      <c r="P246" s="455">
        <f t="shared" si="15"/>
        <v>90</v>
      </c>
      <c r="Q246" s="455">
        <f t="shared" si="16"/>
        <v>90</v>
      </c>
      <c r="R246" s="455">
        <f t="shared" si="17"/>
        <v>90</v>
      </c>
      <c r="S246" s="402">
        <v>0.05</v>
      </c>
      <c r="T246" s="589">
        <v>0.15</v>
      </c>
      <c r="U246" s="378">
        <v>0.15</v>
      </c>
      <c r="V246" s="378">
        <v>0.15</v>
      </c>
      <c r="W246" s="380">
        <v>0.15</v>
      </c>
      <c r="X246" s="357"/>
      <c r="Y246" s="357"/>
      <c r="Z246" s="357"/>
      <c r="AA246" s="357"/>
      <c r="AB246" s="357"/>
      <c r="AC246" s="357"/>
      <c r="AD246" s="357"/>
      <c r="AE246" s="357"/>
      <c r="AF246" s="357"/>
      <c r="AG246" s="357"/>
      <c r="AH246" s="357"/>
      <c r="AI246" s="357"/>
      <c r="AJ246" s="357"/>
      <c r="AK246" s="357"/>
      <c r="AL246" s="357"/>
      <c r="AM246" s="357"/>
      <c r="AN246" s="357"/>
      <c r="AO246" s="357"/>
      <c r="AP246" s="357"/>
      <c r="AQ246" s="357"/>
      <c r="AR246" s="357"/>
      <c r="AS246" s="357"/>
      <c r="AT246" s="357"/>
      <c r="AU246" s="357"/>
      <c r="AV246" s="357"/>
      <c r="AW246" s="357"/>
      <c r="AX246" s="357"/>
      <c r="AY246" s="357"/>
      <c r="AZ246" s="357"/>
      <c r="BA246" s="357"/>
      <c r="BB246" s="357"/>
      <c r="BC246" s="357"/>
      <c r="BD246" s="357"/>
    </row>
    <row r="247" spans="1:56">
      <c r="A247" s="1004"/>
      <c r="B247" s="377" t="s">
        <v>140</v>
      </c>
      <c r="C247" s="400">
        <v>400</v>
      </c>
      <c r="D247" s="377">
        <v>400</v>
      </c>
      <c r="E247" s="379">
        <v>400</v>
      </c>
      <c r="F247" s="400">
        <v>400</v>
      </c>
      <c r="G247" s="377">
        <v>400</v>
      </c>
      <c r="H247" s="379">
        <v>400</v>
      </c>
      <c r="I247" s="400">
        <v>400</v>
      </c>
      <c r="J247" s="377">
        <v>400</v>
      </c>
      <c r="K247" s="379">
        <v>400</v>
      </c>
      <c r="L247" s="400">
        <v>400</v>
      </c>
      <c r="M247" s="377">
        <v>400</v>
      </c>
      <c r="N247" s="401">
        <v>400</v>
      </c>
      <c r="O247" s="455">
        <f t="shared" si="14"/>
        <v>420</v>
      </c>
      <c r="P247" s="455">
        <f t="shared" si="15"/>
        <v>420</v>
      </c>
      <c r="Q247" s="455">
        <f t="shared" si="16"/>
        <v>420</v>
      </c>
      <c r="R247" s="455">
        <f t="shared" si="17"/>
        <v>420</v>
      </c>
      <c r="S247" s="402">
        <v>0.05</v>
      </c>
      <c r="T247" s="589">
        <v>0.2</v>
      </c>
      <c r="U247" s="378">
        <v>0.1</v>
      </c>
      <c r="V247" s="378">
        <v>0.2</v>
      </c>
      <c r="W247" s="380">
        <v>0.2</v>
      </c>
      <c r="X247" s="357"/>
      <c r="Y247" s="357"/>
      <c r="Z247" s="357"/>
      <c r="AA247" s="357"/>
      <c r="AB247" s="357"/>
      <c r="AC247" s="357"/>
      <c r="AD247" s="357"/>
      <c r="AE247" s="357"/>
      <c r="AF247" s="357"/>
      <c r="AG247" s="357"/>
      <c r="AH247" s="357"/>
      <c r="AI247" s="357"/>
      <c r="AJ247" s="357"/>
      <c r="AK247" s="357"/>
      <c r="AL247" s="357"/>
      <c r="AM247" s="357"/>
      <c r="AN247" s="357"/>
      <c r="AO247" s="357"/>
      <c r="AP247" s="357"/>
      <c r="AQ247" s="357"/>
      <c r="AR247" s="357"/>
      <c r="AS247" s="357"/>
      <c r="AT247" s="357"/>
      <c r="AU247" s="357"/>
      <c r="AV247" s="357"/>
      <c r="AW247" s="357"/>
      <c r="AX247" s="357"/>
      <c r="AY247" s="357"/>
      <c r="AZ247" s="357"/>
      <c r="BA247" s="357"/>
      <c r="BB247" s="357"/>
      <c r="BC247" s="357"/>
      <c r="BD247" s="357"/>
    </row>
    <row r="248" spans="1:56">
      <c r="A248" s="1004"/>
      <c r="B248" s="377" t="s">
        <v>139</v>
      </c>
      <c r="C248" s="400">
        <v>100</v>
      </c>
      <c r="D248" s="377">
        <v>100</v>
      </c>
      <c r="E248" s="379">
        <v>100</v>
      </c>
      <c r="F248" s="400">
        <v>100</v>
      </c>
      <c r="G248" s="377">
        <v>100</v>
      </c>
      <c r="H248" s="379">
        <v>100</v>
      </c>
      <c r="I248" s="400">
        <v>100</v>
      </c>
      <c r="J248" s="377">
        <v>100</v>
      </c>
      <c r="K248" s="379">
        <v>100</v>
      </c>
      <c r="L248" s="400">
        <v>100</v>
      </c>
      <c r="M248" s="377">
        <v>100</v>
      </c>
      <c r="N248" s="401">
        <v>100</v>
      </c>
      <c r="O248" s="455">
        <f t="shared" si="14"/>
        <v>105</v>
      </c>
      <c r="P248" s="455">
        <f t="shared" si="15"/>
        <v>105</v>
      </c>
      <c r="Q248" s="455">
        <f t="shared" si="16"/>
        <v>105</v>
      </c>
      <c r="R248" s="455">
        <f t="shared" si="17"/>
        <v>105</v>
      </c>
      <c r="S248" s="402">
        <v>0.05</v>
      </c>
      <c r="T248" s="589">
        <v>0.25</v>
      </c>
      <c r="U248" s="378">
        <v>0.14000000000000001</v>
      </c>
      <c r="V248" s="378">
        <v>0.25</v>
      </c>
      <c r="W248" s="380">
        <v>0.25</v>
      </c>
      <c r="X248" s="357"/>
      <c r="Y248" s="357"/>
      <c r="Z248" s="357"/>
      <c r="AA248" s="357"/>
      <c r="AB248" s="357"/>
      <c r="AC248" s="357"/>
      <c r="AD248" s="357"/>
      <c r="AE248" s="357"/>
      <c r="AF248" s="357"/>
      <c r="AG248" s="357"/>
      <c r="AH248" s="357"/>
      <c r="AI248" s="357"/>
      <c r="AJ248" s="357"/>
      <c r="AK248" s="357"/>
      <c r="AL248" s="357"/>
      <c r="AM248" s="357"/>
      <c r="AN248" s="357"/>
      <c r="AO248" s="357"/>
      <c r="AP248" s="357"/>
      <c r="AQ248" s="357"/>
      <c r="AR248" s="357"/>
      <c r="AS248" s="357"/>
      <c r="AT248" s="357"/>
      <c r="AU248" s="357"/>
      <c r="AV248" s="357"/>
      <c r="AW248" s="357"/>
      <c r="AX248" s="357"/>
      <c r="AY248" s="357"/>
      <c r="AZ248" s="357"/>
      <c r="BA248" s="357"/>
      <c r="BB248" s="357"/>
      <c r="BC248" s="357"/>
      <c r="BD248" s="357"/>
    </row>
    <row r="249" spans="1:56">
      <c r="A249" s="1004"/>
      <c r="B249" s="377" t="s">
        <v>134</v>
      </c>
      <c r="C249" s="400">
        <v>36</v>
      </c>
      <c r="D249" s="377">
        <v>36</v>
      </c>
      <c r="E249" s="379">
        <v>36</v>
      </c>
      <c r="F249" s="400">
        <v>36</v>
      </c>
      <c r="G249" s="377">
        <v>36</v>
      </c>
      <c r="H249" s="379">
        <v>36</v>
      </c>
      <c r="I249" s="400">
        <v>36</v>
      </c>
      <c r="J249" s="377">
        <v>36</v>
      </c>
      <c r="K249" s="379">
        <v>36</v>
      </c>
      <c r="L249" s="400">
        <v>36</v>
      </c>
      <c r="M249" s="377">
        <v>36</v>
      </c>
      <c r="N249" s="401">
        <v>36</v>
      </c>
      <c r="O249" s="455">
        <f t="shared" si="14"/>
        <v>38</v>
      </c>
      <c r="P249" s="455">
        <f t="shared" si="15"/>
        <v>38</v>
      </c>
      <c r="Q249" s="455">
        <f t="shared" si="16"/>
        <v>38</v>
      </c>
      <c r="R249" s="455">
        <f t="shared" si="17"/>
        <v>38</v>
      </c>
      <c r="S249" s="402">
        <v>0.05</v>
      </c>
      <c r="T249" s="589">
        <v>0.15</v>
      </c>
      <c r="U249" s="378">
        <v>0.15</v>
      </c>
      <c r="V249" s="378">
        <v>0.15</v>
      </c>
      <c r="W249" s="380">
        <v>0.15</v>
      </c>
      <c r="X249" s="357"/>
      <c r="Y249" s="357"/>
      <c r="Z249" s="357"/>
      <c r="AA249" s="357"/>
      <c r="AB249" s="357"/>
      <c r="AC249" s="357"/>
      <c r="AD249" s="357"/>
      <c r="AE249" s="357"/>
      <c r="AF249" s="357"/>
      <c r="AG249" s="357"/>
      <c r="AH249" s="357"/>
      <c r="AI249" s="357"/>
      <c r="AJ249" s="357"/>
      <c r="AK249" s="357"/>
      <c r="AL249" s="357"/>
      <c r="AM249" s="357"/>
      <c r="AN249" s="357"/>
      <c r="AO249" s="357"/>
      <c r="AP249" s="357"/>
      <c r="AQ249" s="357"/>
      <c r="AR249" s="357"/>
      <c r="AS249" s="357"/>
      <c r="AT249" s="357"/>
      <c r="AU249" s="357"/>
      <c r="AV249" s="357"/>
      <c r="AW249" s="357"/>
      <c r="AX249" s="357"/>
      <c r="AY249" s="357"/>
      <c r="AZ249" s="357"/>
      <c r="BA249" s="357"/>
      <c r="BB249" s="357"/>
      <c r="BC249" s="357"/>
      <c r="BD249" s="357"/>
    </row>
    <row r="250" spans="1:56">
      <c r="A250" s="1003"/>
      <c r="B250" s="377" t="s">
        <v>135</v>
      </c>
      <c r="C250" s="400">
        <v>36</v>
      </c>
      <c r="D250" s="377">
        <v>36</v>
      </c>
      <c r="E250" s="379">
        <v>36</v>
      </c>
      <c r="F250" s="400">
        <v>36</v>
      </c>
      <c r="G250" s="377">
        <v>36</v>
      </c>
      <c r="H250" s="379">
        <v>36</v>
      </c>
      <c r="I250" s="400">
        <v>36</v>
      </c>
      <c r="J250" s="377">
        <v>36</v>
      </c>
      <c r="K250" s="379">
        <v>36</v>
      </c>
      <c r="L250" s="400">
        <v>36</v>
      </c>
      <c r="M250" s="377">
        <v>36</v>
      </c>
      <c r="N250" s="401">
        <v>36</v>
      </c>
      <c r="O250" s="455">
        <f t="shared" si="14"/>
        <v>38</v>
      </c>
      <c r="P250" s="455">
        <f t="shared" si="15"/>
        <v>38</v>
      </c>
      <c r="Q250" s="455">
        <f t="shared" si="16"/>
        <v>38</v>
      </c>
      <c r="R250" s="455">
        <f t="shared" si="17"/>
        <v>38</v>
      </c>
      <c r="S250" s="402">
        <v>0.05</v>
      </c>
      <c r="T250" s="589">
        <v>0.2</v>
      </c>
      <c r="U250" s="378">
        <v>0.1</v>
      </c>
      <c r="V250" s="378">
        <v>0.1</v>
      </c>
      <c r="W250" s="380">
        <v>0.1</v>
      </c>
      <c r="X250" s="357"/>
      <c r="Y250" s="357"/>
      <c r="Z250" s="357"/>
      <c r="AA250" s="357"/>
      <c r="AB250" s="357"/>
      <c r="AC250" s="357"/>
      <c r="AD250" s="357"/>
      <c r="AE250" s="357"/>
      <c r="AF250" s="357"/>
      <c r="AG250" s="357"/>
      <c r="AH250" s="357"/>
      <c r="AI250" s="357"/>
      <c r="AJ250" s="357"/>
      <c r="AK250" s="357"/>
      <c r="AL250" s="357"/>
      <c r="AM250" s="357"/>
      <c r="AN250" s="357"/>
      <c r="AO250" s="357"/>
      <c r="AP250" s="357"/>
      <c r="AQ250" s="357"/>
      <c r="AR250" s="357"/>
      <c r="AS250" s="357"/>
      <c r="AT250" s="357"/>
      <c r="AU250" s="357"/>
      <c r="AV250" s="357"/>
      <c r="AW250" s="357"/>
      <c r="AX250" s="357"/>
      <c r="AY250" s="357"/>
      <c r="AZ250" s="357"/>
      <c r="BA250" s="357"/>
      <c r="BB250" s="357"/>
      <c r="BC250" s="357"/>
      <c r="BD250" s="357"/>
    </row>
    <row r="251" spans="1:56">
      <c r="A251" s="1002" t="s">
        <v>125</v>
      </c>
      <c r="B251" s="377" t="s">
        <v>136</v>
      </c>
      <c r="C251" s="400">
        <v>65</v>
      </c>
      <c r="D251" s="377">
        <v>65</v>
      </c>
      <c r="E251" s="379">
        <v>65</v>
      </c>
      <c r="F251" s="400">
        <v>65</v>
      </c>
      <c r="G251" s="377">
        <v>65</v>
      </c>
      <c r="H251" s="379">
        <v>65</v>
      </c>
      <c r="I251" s="400">
        <v>65</v>
      </c>
      <c r="J251" s="377">
        <v>65</v>
      </c>
      <c r="K251" s="379">
        <v>65</v>
      </c>
      <c r="L251" s="400">
        <v>65</v>
      </c>
      <c r="M251" s="377">
        <v>65</v>
      </c>
      <c r="N251" s="401">
        <v>65</v>
      </c>
      <c r="O251" s="455">
        <f t="shared" si="14"/>
        <v>68</v>
      </c>
      <c r="P251" s="455">
        <f t="shared" si="15"/>
        <v>68</v>
      </c>
      <c r="Q251" s="455">
        <f t="shared" si="16"/>
        <v>68</v>
      </c>
      <c r="R251" s="455">
        <f t="shared" si="17"/>
        <v>68</v>
      </c>
      <c r="S251" s="402">
        <v>0.05</v>
      </c>
      <c r="T251" s="589">
        <v>0.15</v>
      </c>
      <c r="U251" s="378">
        <v>0.15</v>
      </c>
      <c r="V251" s="378">
        <v>0.15</v>
      </c>
      <c r="W251" s="380">
        <v>0.15</v>
      </c>
      <c r="X251" s="357"/>
      <c r="Y251" s="357"/>
      <c r="Z251" s="357"/>
      <c r="AA251" s="357"/>
      <c r="AB251" s="357"/>
      <c r="AC251" s="357"/>
      <c r="AD251" s="357"/>
      <c r="AE251" s="357"/>
      <c r="AF251" s="357"/>
      <c r="AG251" s="357"/>
      <c r="AH251" s="357"/>
      <c r="AI251" s="357"/>
      <c r="AJ251" s="357"/>
      <c r="AK251" s="357"/>
      <c r="AL251" s="357"/>
      <c r="AM251" s="357"/>
      <c r="AN251" s="357"/>
      <c r="AO251" s="357"/>
      <c r="AP251" s="357"/>
      <c r="AQ251" s="357"/>
      <c r="AR251" s="357"/>
      <c r="AS251" s="357"/>
      <c r="AT251" s="357"/>
      <c r="AU251" s="357"/>
      <c r="AV251" s="357"/>
      <c r="AW251" s="357"/>
      <c r="AX251" s="357"/>
      <c r="AY251" s="357"/>
      <c r="AZ251" s="357"/>
      <c r="BA251" s="357"/>
      <c r="BB251" s="357"/>
      <c r="BC251" s="357"/>
      <c r="BD251" s="357"/>
    </row>
    <row r="252" spans="1:56">
      <c r="A252" s="1003"/>
      <c r="B252" s="377" t="s">
        <v>137</v>
      </c>
      <c r="C252" s="400">
        <v>260</v>
      </c>
      <c r="D252" s="377">
        <v>260</v>
      </c>
      <c r="E252" s="379">
        <v>260</v>
      </c>
      <c r="F252" s="400">
        <v>260</v>
      </c>
      <c r="G252" s="377">
        <v>260</v>
      </c>
      <c r="H252" s="379">
        <v>260</v>
      </c>
      <c r="I252" s="400">
        <v>260</v>
      </c>
      <c r="J252" s="377">
        <v>260</v>
      </c>
      <c r="K252" s="379">
        <v>260</v>
      </c>
      <c r="L252" s="400">
        <v>260</v>
      </c>
      <c r="M252" s="377">
        <v>260</v>
      </c>
      <c r="N252" s="401">
        <v>260</v>
      </c>
      <c r="O252" s="455">
        <f t="shared" si="14"/>
        <v>273</v>
      </c>
      <c r="P252" s="455">
        <f t="shared" si="15"/>
        <v>273</v>
      </c>
      <c r="Q252" s="455">
        <f t="shared" si="16"/>
        <v>273</v>
      </c>
      <c r="R252" s="455">
        <f t="shared" si="17"/>
        <v>273</v>
      </c>
      <c r="S252" s="402">
        <v>0.05</v>
      </c>
      <c r="T252" s="589">
        <v>0.2</v>
      </c>
      <c r="U252" s="378">
        <v>0.12</v>
      </c>
      <c r="V252" s="378">
        <v>0.2</v>
      </c>
      <c r="W252" s="380">
        <v>0.2</v>
      </c>
      <c r="X252" s="357"/>
      <c r="Y252" s="357"/>
      <c r="Z252" s="357"/>
      <c r="AA252" s="357"/>
      <c r="AB252" s="357"/>
      <c r="AC252" s="357"/>
      <c r="AD252" s="357"/>
      <c r="AE252" s="357"/>
      <c r="AF252" s="357"/>
      <c r="AG252" s="357"/>
      <c r="AH252" s="357"/>
      <c r="AI252" s="357"/>
      <c r="AJ252" s="357"/>
      <c r="AK252" s="357"/>
      <c r="AL252" s="357"/>
      <c r="AM252" s="357"/>
      <c r="AN252" s="357"/>
      <c r="AO252" s="357"/>
      <c r="AP252" s="357"/>
      <c r="AQ252" s="357"/>
      <c r="AR252" s="357"/>
      <c r="AS252" s="357"/>
      <c r="AT252" s="357"/>
      <c r="AU252" s="357"/>
      <c r="AV252" s="357"/>
      <c r="AW252" s="357"/>
      <c r="AX252" s="357"/>
      <c r="AY252" s="357"/>
      <c r="AZ252" s="357"/>
      <c r="BA252" s="357"/>
      <c r="BB252" s="357"/>
      <c r="BC252" s="357"/>
      <c r="BD252" s="357"/>
    </row>
    <row r="253" spans="1:56">
      <c r="A253" s="412" t="s">
        <v>253</v>
      </c>
      <c r="B253" s="377" t="s">
        <v>138</v>
      </c>
      <c r="C253" s="400">
        <v>150</v>
      </c>
      <c r="D253" s="377">
        <v>150</v>
      </c>
      <c r="E253" s="379">
        <v>150</v>
      </c>
      <c r="F253" s="400">
        <v>150</v>
      </c>
      <c r="G253" s="377">
        <v>150</v>
      </c>
      <c r="H253" s="379">
        <v>150</v>
      </c>
      <c r="I253" s="400">
        <v>150</v>
      </c>
      <c r="J253" s="377">
        <v>150</v>
      </c>
      <c r="K253" s="379">
        <v>150</v>
      </c>
      <c r="L253" s="400">
        <v>150</v>
      </c>
      <c r="M253" s="377">
        <v>150</v>
      </c>
      <c r="N253" s="401">
        <v>150</v>
      </c>
      <c r="O253" s="455">
        <f t="shared" si="14"/>
        <v>158</v>
      </c>
      <c r="P253" s="455">
        <f t="shared" si="15"/>
        <v>158</v>
      </c>
      <c r="Q253" s="455">
        <f t="shared" si="16"/>
        <v>158</v>
      </c>
      <c r="R253" s="455">
        <f t="shared" si="17"/>
        <v>158</v>
      </c>
      <c r="S253" s="402">
        <v>0.05</v>
      </c>
      <c r="T253" s="589">
        <v>0.25</v>
      </c>
      <c r="U253" s="378">
        <v>0.15</v>
      </c>
      <c r="V253" s="378">
        <v>0.25</v>
      </c>
      <c r="W253" s="380">
        <v>0.25</v>
      </c>
      <c r="X253" s="357"/>
      <c r="Y253" s="357"/>
      <c r="Z253" s="357"/>
      <c r="AA253" s="357"/>
      <c r="AB253" s="357"/>
      <c r="AC253" s="357"/>
      <c r="AD253" s="357"/>
      <c r="AE253" s="357"/>
      <c r="AF253" s="357"/>
      <c r="AG253" s="357"/>
      <c r="AH253" s="357"/>
      <c r="AI253" s="357"/>
      <c r="AJ253" s="357"/>
      <c r="AK253" s="357"/>
      <c r="AL253" s="357"/>
      <c r="AM253" s="357"/>
      <c r="AN253" s="357"/>
      <c r="AO253" s="357"/>
      <c r="AP253" s="357"/>
      <c r="AQ253" s="357"/>
      <c r="AR253" s="357"/>
      <c r="AS253" s="357"/>
      <c r="AT253" s="357"/>
      <c r="AU253" s="357"/>
      <c r="AV253" s="357"/>
      <c r="AW253" s="357"/>
      <c r="AX253" s="357"/>
      <c r="AY253" s="357"/>
      <c r="AZ253" s="357"/>
      <c r="BA253" s="357"/>
      <c r="BB253" s="357"/>
      <c r="BC253" s="357"/>
      <c r="BD253" s="357"/>
    </row>
    <row r="254" spans="1:56">
      <c r="A254" s="1004" t="s">
        <v>252</v>
      </c>
      <c r="B254" s="377" t="s">
        <v>141</v>
      </c>
      <c r="C254" s="400">
        <v>240</v>
      </c>
      <c r="D254" s="377">
        <v>240</v>
      </c>
      <c r="E254" s="379">
        <v>240</v>
      </c>
      <c r="F254" s="400">
        <v>240</v>
      </c>
      <c r="G254" s="377">
        <v>240</v>
      </c>
      <c r="H254" s="379">
        <v>240</v>
      </c>
      <c r="I254" s="400">
        <v>240</v>
      </c>
      <c r="J254" s="377">
        <v>240</v>
      </c>
      <c r="K254" s="379">
        <v>240</v>
      </c>
      <c r="L254" s="400">
        <v>240</v>
      </c>
      <c r="M254" s="377">
        <v>240</v>
      </c>
      <c r="N254" s="401">
        <v>240</v>
      </c>
      <c r="O254" s="455">
        <f t="shared" si="14"/>
        <v>252</v>
      </c>
      <c r="P254" s="455">
        <f t="shared" si="15"/>
        <v>252</v>
      </c>
      <c r="Q254" s="455">
        <f t="shared" si="16"/>
        <v>252</v>
      </c>
      <c r="R254" s="455">
        <f t="shared" si="17"/>
        <v>252</v>
      </c>
      <c r="S254" s="402">
        <v>0.05</v>
      </c>
      <c r="T254" s="589">
        <v>0.15</v>
      </c>
      <c r="U254" s="378">
        <v>0.15</v>
      </c>
      <c r="V254" s="378">
        <v>0.15</v>
      </c>
      <c r="W254" s="380">
        <v>0.15</v>
      </c>
      <c r="X254" s="357"/>
      <c r="Y254" s="357"/>
      <c r="Z254" s="357"/>
      <c r="AA254" s="357"/>
      <c r="AB254" s="357"/>
      <c r="AC254" s="357"/>
      <c r="AD254" s="357"/>
      <c r="AE254" s="357"/>
      <c r="AF254" s="357"/>
      <c r="AG254" s="357"/>
      <c r="AH254" s="357"/>
      <c r="AI254" s="357"/>
      <c r="AJ254" s="357"/>
      <c r="AK254" s="357"/>
      <c r="AL254" s="357"/>
      <c r="AM254" s="357"/>
      <c r="AN254" s="357"/>
      <c r="AO254" s="357"/>
      <c r="AP254" s="357"/>
      <c r="AQ254" s="357"/>
      <c r="AR254" s="357"/>
      <c r="AS254" s="357"/>
      <c r="AT254" s="357"/>
      <c r="AU254" s="357"/>
      <c r="AV254" s="357"/>
      <c r="AW254" s="357"/>
      <c r="AX254" s="357"/>
      <c r="AY254" s="357"/>
      <c r="AZ254" s="357"/>
      <c r="BA254" s="357"/>
      <c r="BB254" s="357"/>
      <c r="BC254" s="357"/>
      <c r="BD254" s="357"/>
    </row>
    <row r="255" spans="1:56">
      <c r="A255" s="1004"/>
      <c r="B255" s="377" t="s">
        <v>142</v>
      </c>
      <c r="C255" s="400">
        <v>230</v>
      </c>
      <c r="D255" s="377">
        <v>230</v>
      </c>
      <c r="E255" s="379">
        <v>230</v>
      </c>
      <c r="F255" s="400">
        <v>230</v>
      </c>
      <c r="G255" s="377">
        <v>230</v>
      </c>
      <c r="H255" s="379">
        <v>230</v>
      </c>
      <c r="I255" s="400">
        <v>230</v>
      </c>
      <c r="J255" s="377">
        <v>230</v>
      </c>
      <c r="K255" s="379">
        <v>230</v>
      </c>
      <c r="L255" s="400">
        <v>230</v>
      </c>
      <c r="M255" s="377">
        <v>230</v>
      </c>
      <c r="N255" s="401">
        <v>230</v>
      </c>
      <c r="O255" s="455">
        <f t="shared" si="14"/>
        <v>242</v>
      </c>
      <c r="P255" s="455">
        <f t="shared" si="15"/>
        <v>242</v>
      </c>
      <c r="Q255" s="455">
        <f t="shared" si="16"/>
        <v>242</v>
      </c>
      <c r="R255" s="455">
        <f t="shared" si="17"/>
        <v>242</v>
      </c>
      <c r="S255" s="402">
        <v>0.05</v>
      </c>
      <c r="T255" s="589">
        <v>0.2</v>
      </c>
      <c r="U255" s="378">
        <v>0.1</v>
      </c>
      <c r="V255" s="378">
        <v>0.2</v>
      </c>
      <c r="W255" s="380">
        <v>0.2</v>
      </c>
      <c r="X255" s="357"/>
      <c r="Y255" s="357"/>
      <c r="Z255" s="357"/>
      <c r="AA255" s="357"/>
      <c r="AB255" s="357"/>
      <c r="AC255" s="357"/>
      <c r="AD255" s="357"/>
      <c r="AE255" s="357"/>
      <c r="AF255" s="357"/>
      <c r="AG255" s="357"/>
      <c r="AH255" s="357"/>
      <c r="AI255" s="357"/>
      <c r="AJ255" s="357"/>
      <c r="AK255" s="357"/>
      <c r="AL255" s="357"/>
      <c r="AM255" s="357"/>
      <c r="AN255" s="357"/>
      <c r="AO255" s="357"/>
      <c r="AP255" s="357"/>
      <c r="AQ255" s="357"/>
      <c r="AR255" s="357"/>
      <c r="AS255" s="357"/>
      <c r="AT255" s="357"/>
      <c r="AU255" s="357"/>
      <c r="AV255" s="357"/>
      <c r="AW255" s="357"/>
      <c r="AX255" s="357"/>
      <c r="AY255" s="357"/>
      <c r="AZ255" s="357"/>
      <c r="BA255" s="357"/>
      <c r="BB255" s="357"/>
      <c r="BC255" s="357"/>
      <c r="BD255" s="357"/>
    </row>
    <row r="256" spans="1:56" ht="16.5" thickBot="1">
      <c r="A256" s="1005"/>
      <c r="B256" s="383" t="s">
        <v>131</v>
      </c>
      <c r="C256" s="404">
        <v>90</v>
      </c>
      <c r="D256" s="383">
        <v>90</v>
      </c>
      <c r="E256" s="405">
        <v>90</v>
      </c>
      <c r="F256" s="404">
        <v>90</v>
      </c>
      <c r="G256" s="383">
        <v>90</v>
      </c>
      <c r="H256" s="405">
        <v>90</v>
      </c>
      <c r="I256" s="404">
        <v>90</v>
      </c>
      <c r="J256" s="383">
        <v>90</v>
      </c>
      <c r="K256" s="405">
        <v>90</v>
      </c>
      <c r="L256" s="404">
        <v>90</v>
      </c>
      <c r="M256" s="383">
        <v>90</v>
      </c>
      <c r="N256" s="406">
        <v>90</v>
      </c>
      <c r="O256" s="724">
        <f t="shared" si="14"/>
        <v>95</v>
      </c>
      <c r="P256" s="724">
        <f t="shared" si="15"/>
        <v>95</v>
      </c>
      <c r="Q256" s="724">
        <f t="shared" si="16"/>
        <v>95</v>
      </c>
      <c r="R256" s="725">
        <f t="shared" si="17"/>
        <v>95</v>
      </c>
      <c r="S256" s="407">
        <v>0.05</v>
      </c>
      <c r="T256" s="590">
        <v>0.25</v>
      </c>
      <c r="U256" s="426">
        <v>0.1</v>
      </c>
      <c r="V256" s="426">
        <v>0.1</v>
      </c>
      <c r="W256" s="427">
        <v>0.1</v>
      </c>
      <c r="X256" s="357"/>
      <c r="Y256" s="357"/>
      <c r="Z256" s="357"/>
      <c r="AA256" s="357"/>
      <c r="AB256" s="357"/>
      <c r="AC256" s="357"/>
      <c r="AD256" s="357"/>
      <c r="AE256" s="357"/>
      <c r="AF256" s="357"/>
      <c r="AG256" s="357"/>
      <c r="AH256" s="357"/>
      <c r="AI256" s="357"/>
      <c r="AJ256" s="357"/>
      <c r="AK256" s="357"/>
      <c r="AL256" s="357"/>
      <c r="AM256" s="357"/>
      <c r="AN256" s="357"/>
      <c r="AO256" s="357"/>
      <c r="AP256" s="357"/>
      <c r="AQ256" s="357"/>
      <c r="AR256" s="357"/>
      <c r="AS256" s="357"/>
      <c r="AT256" s="357"/>
      <c r="AU256" s="357"/>
      <c r="AV256" s="357"/>
      <c r="AW256" s="357"/>
      <c r="AX256" s="357"/>
      <c r="AY256" s="357"/>
      <c r="AZ256" s="357"/>
      <c r="BA256" s="357"/>
      <c r="BB256" s="357"/>
      <c r="BC256" s="357"/>
      <c r="BD256" s="357"/>
    </row>
    <row r="257" spans="1:56">
      <c r="G257" s="357"/>
      <c r="H257" s="357"/>
      <c r="I257" s="357"/>
      <c r="J257" s="357"/>
      <c r="K257" s="357"/>
      <c r="L257" s="357"/>
      <c r="M257" s="357"/>
      <c r="N257" s="357"/>
      <c r="O257" s="726"/>
      <c r="P257" s="726"/>
      <c r="Q257" s="726"/>
      <c r="R257" s="726"/>
      <c r="S257" s="357"/>
      <c r="X257" s="357"/>
      <c r="Y257" s="357"/>
      <c r="Z257" s="357"/>
      <c r="AA257" s="357"/>
      <c r="AB257" s="357"/>
      <c r="AC257" s="357"/>
      <c r="AD257" s="357"/>
      <c r="AE257" s="357"/>
      <c r="AF257" s="357"/>
      <c r="AG257" s="357"/>
      <c r="AH257" s="357"/>
      <c r="AI257" s="357"/>
      <c r="AJ257" s="357"/>
      <c r="AK257" s="357"/>
      <c r="AL257" s="357"/>
      <c r="AM257" s="357"/>
      <c r="AN257" s="357"/>
      <c r="AO257" s="357"/>
      <c r="AP257" s="357"/>
      <c r="AQ257" s="357"/>
      <c r="AR257" s="357"/>
      <c r="AS257" s="357"/>
      <c r="AT257" s="357"/>
      <c r="AU257" s="357"/>
      <c r="AV257" s="357"/>
      <c r="AW257" s="357"/>
      <c r="AX257" s="357"/>
      <c r="AY257" s="357"/>
      <c r="AZ257" s="357"/>
      <c r="BA257" s="357"/>
      <c r="BB257" s="357"/>
      <c r="BC257" s="357"/>
      <c r="BD257" s="357"/>
    </row>
    <row r="258" spans="1:56" ht="16.5" thickBot="1">
      <c r="G258" s="357"/>
      <c r="H258" s="357"/>
      <c r="I258" s="357"/>
      <c r="J258" s="357"/>
      <c r="K258" s="357"/>
      <c r="L258" s="357"/>
      <c r="M258" s="357"/>
      <c r="N258" s="357"/>
      <c r="O258" s="726"/>
      <c r="P258" s="726"/>
      <c r="Q258" s="726"/>
      <c r="R258" s="726"/>
      <c r="S258" s="357"/>
      <c r="X258" s="357"/>
      <c r="Y258" s="357"/>
      <c r="Z258" s="357"/>
      <c r="AA258" s="357"/>
      <c r="AB258" s="357"/>
      <c r="AC258" s="357"/>
      <c r="AD258" s="357"/>
      <c r="AE258" s="357"/>
      <c r="AF258" s="357"/>
      <c r="AG258" s="357"/>
      <c r="AH258" s="357"/>
      <c r="AI258" s="357"/>
      <c r="AJ258" s="357"/>
      <c r="AK258" s="357"/>
      <c r="AL258" s="357"/>
      <c r="AM258" s="357"/>
      <c r="AN258" s="357"/>
      <c r="AO258" s="357"/>
      <c r="AP258" s="357"/>
      <c r="AQ258" s="357"/>
      <c r="AR258" s="357"/>
      <c r="AS258" s="357"/>
      <c r="AT258" s="357"/>
      <c r="AU258" s="357"/>
      <c r="AV258" s="357"/>
      <c r="AW258" s="357"/>
      <c r="AX258" s="357"/>
      <c r="AY258" s="357"/>
      <c r="AZ258" s="357"/>
      <c r="BA258" s="357"/>
      <c r="BB258" s="357"/>
      <c r="BC258" s="357"/>
      <c r="BD258" s="357"/>
    </row>
    <row r="259" spans="1:56" ht="16.5" thickBot="1">
      <c r="A259" s="1006" t="s">
        <v>323</v>
      </c>
      <c r="B259" s="1009" t="s">
        <v>324</v>
      </c>
      <c r="C259" s="1012" t="s">
        <v>325</v>
      </c>
      <c r="D259" s="1013"/>
      <c r="E259" s="1013"/>
      <c r="F259" s="1013"/>
      <c r="G259" s="1013"/>
      <c r="H259" s="1013"/>
      <c r="I259" s="1013"/>
      <c r="J259" s="1013"/>
      <c r="K259" s="1013"/>
      <c r="L259" s="1013"/>
      <c r="M259" s="1013"/>
      <c r="N259" s="1013"/>
      <c r="O259" s="999" t="s">
        <v>329</v>
      </c>
      <c r="P259" s="1000"/>
      <c r="Q259" s="1000"/>
      <c r="R259" s="1001"/>
      <c r="S259" s="1043" t="s">
        <v>337</v>
      </c>
      <c r="X259" s="357"/>
      <c r="Y259" s="357"/>
      <c r="Z259" s="357"/>
      <c r="AA259" s="357"/>
      <c r="AB259" s="357"/>
      <c r="AC259" s="357"/>
      <c r="AD259" s="357"/>
      <c r="AE259" s="357"/>
      <c r="AF259" s="357"/>
      <c r="AG259" s="357"/>
      <c r="AH259" s="357"/>
      <c r="AI259" s="357"/>
      <c r="AJ259" s="357"/>
      <c r="AK259" s="357"/>
      <c r="AL259" s="357"/>
      <c r="AM259" s="357"/>
      <c r="AN259" s="357"/>
      <c r="AO259" s="357"/>
      <c r="AP259" s="357"/>
      <c r="AQ259" s="357"/>
      <c r="AR259" s="357"/>
      <c r="AS259" s="357"/>
      <c r="AT259" s="357"/>
      <c r="AU259" s="357"/>
      <c r="AV259" s="357"/>
      <c r="AW259" s="357"/>
      <c r="AX259" s="357"/>
      <c r="AY259" s="357"/>
      <c r="AZ259" s="357"/>
      <c r="BA259" s="357"/>
      <c r="BB259" s="357"/>
      <c r="BC259" s="357"/>
      <c r="BD259" s="357"/>
    </row>
    <row r="260" spans="1:56" ht="16.5" thickBot="1">
      <c r="A260" s="1007"/>
      <c r="B260" s="1010"/>
      <c r="C260" s="1014" t="s">
        <v>264</v>
      </c>
      <c r="D260" s="1015"/>
      <c r="E260" s="1016"/>
      <c r="F260" s="1014" t="s">
        <v>263</v>
      </c>
      <c r="G260" s="1015"/>
      <c r="H260" s="1016"/>
      <c r="I260" s="1014" t="s">
        <v>265</v>
      </c>
      <c r="J260" s="1015"/>
      <c r="K260" s="1016"/>
      <c r="L260" s="1014" t="s">
        <v>269</v>
      </c>
      <c r="M260" s="1015"/>
      <c r="N260" s="1015"/>
      <c r="O260" s="997" t="s">
        <v>264</v>
      </c>
      <c r="P260" s="997" t="s">
        <v>263</v>
      </c>
      <c r="Q260" s="997" t="s">
        <v>265</v>
      </c>
      <c r="R260" s="997" t="s">
        <v>269</v>
      </c>
      <c r="S260" s="1073"/>
      <c r="X260" s="357"/>
      <c r="Y260" s="357"/>
      <c r="Z260" s="357"/>
      <c r="AA260" s="357"/>
      <c r="AB260" s="357"/>
      <c r="AC260" s="357"/>
      <c r="AD260" s="357"/>
      <c r="AE260" s="357"/>
      <c r="AF260" s="357"/>
      <c r="AG260" s="357"/>
      <c r="AH260" s="357"/>
      <c r="AI260" s="357"/>
      <c r="AJ260" s="357"/>
      <c r="AK260" s="357"/>
      <c r="AL260" s="357"/>
      <c r="AM260" s="357"/>
      <c r="AN260" s="357"/>
      <c r="AO260" s="357"/>
      <c r="AP260" s="357"/>
      <c r="AQ260" s="357"/>
      <c r="AR260" s="357"/>
      <c r="AS260" s="357"/>
      <c r="AT260" s="357"/>
      <c r="AU260" s="357"/>
      <c r="AV260" s="357"/>
      <c r="AW260" s="357"/>
      <c r="AX260" s="357"/>
      <c r="AY260" s="357"/>
      <c r="AZ260" s="357"/>
      <c r="BA260" s="357"/>
      <c r="BB260" s="357"/>
      <c r="BC260" s="357"/>
      <c r="BD260" s="357"/>
    </row>
    <row r="261" spans="1:56" ht="16.5" thickBot="1">
      <c r="A261" s="1008"/>
      <c r="B261" s="1010"/>
      <c r="C261" s="413" t="s">
        <v>266</v>
      </c>
      <c r="D261" s="414" t="s">
        <v>267</v>
      </c>
      <c r="E261" s="415" t="s">
        <v>268</v>
      </c>
      <c r="F261" s="413" t="s">
        <v>266</v>
      </c>
      <c r="G261" s="414" t="s">
        <v>267</v>
      </c>
      <c r="H261" s="415" t="s">
        <v>268</v>
      </c>
      <c r="I261" s="413" t="s">
        <v>266</v>
      </c>
      <c r="J261" s="414" t="s">
        <v>267</v>
      </c>
      <c r="K261" s="415" t="s">
        <v>268</v>
      </c>
      <c r="L261" s="413" t="s">
        <v>266</v>
      </c>
      <c r="M261" s="414" t="s">
        <v>267</v>
      </c>
      <c r="N261" s="416" t="s">
        <v>268</v>
      </c>
      <c r="O261" s="1017"/>
      <c r="P261" s="1017"/>
      <c r="Q261" s="1017"/>
      <c r="R261" s="1017"/>
      <c r="S261" s="1073"/>
      <c r="X261" s="357"/>
      <c r="Y261" s="357"/>
      <c r="Z261" s="357"/>
      <c r="AA261" s="357"/>
      <c r="AB261" s="357"/>
      <c r="AC261" s="357"/>
      <c r="AD261" s="357"/>
      <c r="AE261" s="357"/>
      <c r="AF261" s="357"/>
      <c r="AG261" s="357"/>
      <c r="AH261" s="357"/>
      <c r="AI261" s="357"/>
      <c r="AJ261" s="357"/>
      <c r="AK261" s="357"/>
      <c r="AL261" s="357"/>
      <c r="AM261" s="357"/>
      <c r="AN261" s="357"/>
      <c r="AO261" s="357"/>
      <c r="AP261" s="357"/>
      <c r="AQ261" s="357"/>
      <c r="AR261" s="357"/>
      <c r="AS261" s="357"/>
      <c r="AT261" s="357"/>
      <c r="AU261" s="357"/>
      <c r="AV261" s="357"/>
      <c r="AW261" s="357"/>
      <c r="AX261" s="357"/>
      <c r="AY261" s="357"/>
      <c r="AZ261" s="357"/>
      <c r="BA261" s="357"/>
      <c r="BB261" s="357"/>
      <c r="BC261" s="357"/>
      <c r="BD261" s="357"/>
    </row>
    <row r="262" spans="1:56" ht="15.75" customHeight="1">
      <c r="A262" s="1018" t="s">
        <v>326</v>
      </c>
      <c r="B262" s="417" t="s">
        <v>320</v>
      </c>
      <c r="C262" s="374">
        <v>10000</v>
      </c>
      <c r="D262" s="374">
        <v>11000</v>
      </c>
      <c r="E262" s="374">
        <v>13000</v>
      </c>
      <c r="F262" s="374">
        <v>10000</v>
      </c>
      <c r="G262" s="374">
        <v>11000</v>
      </c>
      <c r="H262" s="374">
        <v>13000</v>
      </c>
      <c r="I262" s="374">
        <v>10000</v>
      </c>
      <c r="J262" s="374">
        <v>11000</v>
      </c>
      <c r="K262" s="374">
        <v>13000</v>
      </c>
      <c r="L262" s="374">
        <v>10000</v>
      </c>
      <c r="M262" s="374">
        <v>11000</v>
      </c>
      <c r="N262" s="429">
        <v>13000</v>
      </c>
      <c r="O262" s="727">
        <f t="shared" ref="O262:R262" si="18">IFERROR(ROUND((AVERAGE(C262:E262))*(1+$S262),0),0)</f>
        <v>11900</v>
      </c>
      <c r="P262" s="728">
        <f t="shared" si="18"/>
        <v>11900</v>
      </c>
      <c r="Q262" s="728">
        <f t="shared" si="18"/>
        <v>11900</v>
      </c>
      <c r="R262" s="729">
        <f t="shared" si="18"/>
        <v>11900</v>
      </c>
      <c r="S262" s="672">
        <v>0.05</v>
      </c>
      <c r="X262" s="357"/>
      <c r="Y262" s="357"/>
      <c r="Z262" s="357"/>
      <c r="AA262" s="357"/>
      <c r="AB262" s="357"/>
      <c r="AC262" s="357"/>
      <c r="AD262" s="357"/>
      <c r="AE262" s="357"/>
      <c r="AF262" s="357"/>
      <c r="AG262" s="357"/>
      <c r="AH262" s="357"/>
      <c r="AI262" s="357"/>
      <c r="AJ262" s="357"/>
      <c r="AK262" s="357"/>
      <c r="AL262" s="357"/>
      <c r="AM262" s="357"/>
      <c r="AN262" s="357"/>
      <c r="AO262" s="357"/>
      <c r="AP262" s="357"/>
      <c r="AQ262" s="357"/>
      <c r="AR262" s="357"/>
      <c r="AS262" s="357"/>
      <c r="AT262" s="357"/>
      <c r="AU262" s="357"/>
      <c r="AV262" s="357"/>
      <c r="AW262" s="357"/>
      <c r="AX262" s="357"/>
      <c r="AY262" s="357"/>
      <c r="AZ262" s="357"/>
      <c r="BA262" s="357"/>
      <c r="BB262" s="357"/>
      <c r="BC262" s="357"/>
      <c r="BD262" s="357"/>
    </row>
    <row r="263" spans="1:56">
      <c r="A263" s="1019"/>
      <c r="B263" s="400" t="s">
        <v>321</v>
      </c>
      <c r="C263" s="377">
        <v>2000</v>
      </c>
      <c r="D263" s="377">
        <v>3000</v>
      </c>
      <c r="E263" s="377">
        <v>5000</v>
      </c>
      <c r="F263" s="377">
        <v>2000</v>
      </c>
      <c r="G263" s="377">
        <v>3000</v>
      </c>
      <c r="H263" s="377">
        <v>5000</v>
      </c>
      <c r="I263" s="377">
        <v>2000</v>
      </c>
      <c r="J263" s="377">
        <v>3000</v>
      </c>
      <c r="K263" s="377">
        <v>5000</v>
      </c>
      <c r="L263" s="377">
        <v>2000</v>
      </c>
      <c r="M263" s="377">
        <v>3000</v>
      </c>
      <c r="N263" s="401">
        <v>5000</v>
      </c>
      <c r="O263" s="730">
        <f t="shared" ref="O263:O281" si="19">IFERROR(ROUND((AVERAGE(C263:E263))*(1+$S263),0),0)</f>
        <v>3500</v>
      </c>
      <c r="P263" s="451">
        <f t="shared" ref="P263:P281" si="20">IFERROR(ROUND((AVERAGE(D263:F263))*(1+$S263),0),0)</f>
        <v>3500</v>
      </c>
      <c r="Q263" s="451">
        <f t="shared" ref="Q263:Q281" si="21">IFERROR(ROUND((AVERAGE(E263:G263))*(1+$S263),0),0)</f>
        <v>3500</v>
      </c>
      <c r="R263" s="452">
        <f t="shared" ref="R263:R281" si="22">IFERROR(ROUND((AVERAGE(F263:H263))*(1+$S263),0),0)</f>
        <v>3500</v>
      </c>
      <c r="S263" s="672">
        <v>0.05</v>
      </c>
      <c r="X263" s="357"/>
      <c r="Y263" s="357"/>
      <c r="Z263" s="357"/>
      <c r="AA263" s="357"/>
      <c r="AB263" s="357"/>
      <c r="AC263" s="357"/>
      <c r="AD263" s="357"/>
      <c r="AE263" s="357"/>
      <c r="AF263" s="357"/>
      <c r="AG263" s="357"/>
      <c r="AH263" s="357"/>
      <c r="AI263" s="357"/>
      <c r="AJ263" s="357"/>
      <c r="AK263" s="357"/>
      <c r="AL263" s="357"/>
      <c r="AM263" s="357"/>
      <c r="AN263" s="357"/>
      <c r="AO263" s="357"/>
      <c r="AP263" s="357"/>
      <c r="AQ263" s="357"/>
      <c r="AR263" s="357"/>
      <c r="AS263" s="357"/>
      <c r="AT263" s="357"/>
      <c r="AU263" s="357"/>
      <c r="AV263" s="357"/>
      <c r="AW263" s="357"/>
      <c r="AX263" s="357"/>
      <c r="AY263" s="357"/>
      <c r="AZ263" s="357"/>
      <c r="BA263" s="357"/>
      <c r="BB263" s="357"/>
      <c r="BC263" s="357"/>
      <c r="BD263" s="357"/>
    </row>
    <row r="264" spans="1:56">
      <c r="A264" s="1019"/>
      <c r="B264" s="400" t="s">
        <v>322</v>
      </c>
      <c r="C264" s="377">
        <v>3800</v>
      </c>
      <c r="D264" s="377">
        <v>4000</v>
      </c>
      <c r="E264" s="377">
        <v>4500</v>
      </c>
      <c r="F264" s="377">
        <v>3800</v>
      </c>
      <c r="G264" s="377">
        <v>4000</v>
      </c>
      <c r="H264" s="377">
        <v>4500</v>
      </c>
      <c r="I264" s="377">
        <v>3800</v>
      </c>
      <c r="J264" s="377">
        <v>4000</v>
      </c>
      <c r="K264" s="377">
        <v>4500</v>
      </c>
      <c r="L264" s="377">
        <v>3800</v>
      </c>
      <c r="M264" s="377">
        <v>4000</v>
      </c>
      <c r="N264" s="401">
        <v>4500</v>
      </c>
      <c r="O264" s="730">
        <f t="shared" si="19"/>
        <v>4305</v>
      </c>
      <c r="P264" s="451">
        <f t="shared" si="20"/>
        <v>4305</v>
      </c>
      <c r="Q264" s="451">
        <f t="shared" si="21"/>
        <v>4305</v>
      </c>
      <c r="R264" s="452">
        <f t="shared" si="22"/>
        <v>4305</v>
      </c>
      <c r="S264" s="672">
        <v>0.05</v>
      </c>
      <c r="X264" s="357"/>
      <c r="Y264" s="357"/>
      <c r="Z264" s="357"/>
      <c r="AA264" s="357"/>
      <c r="AB264" s="357"/>
      <c r="AC264" s="357"/>
      <c r="AD264" s="357"/>
      <c r="AE264" s="357"/>
      <c r="AF264" s="357"/>
      <c r="AG264" s="357"/>
      <c r="AH264" s="357"/>
      <c r="AI264" s="357"/>
      <c r="AJ264" s="357"/>
      <c r="AK264" s="357"/>
      <c r="AL264" s="357"/>
      <c r="AM264" s="357"/>
      <c r="AN264" s="357"/>
      <c r="AO264" s="357"/>
      <c r="AP264" s="357"/>
      <c r="AQ264" s="357"/>
      <c r="AR264" s="357"/>
      <c r="AS264" s="357"/>
      <c r="AT264" s="357"/>
      <c r="AU264" s="357"/>
      <c r="AV264" s="357"/>
      <c r="AW264" s="357"/>
      <c r="AX264" s="357"/>
      <c r="AY264" s="357"/>
      <c r="AZ264" s="357"/>
      <c r="BA264" s="357"/>
      <c r="BB264" s="357"/>
      <c r="BC264" s="357"/>
      <c r="BD264" s="357"/>
    </row>
    <row r="265" spans="1:56">
      <c r="A265" s="1019"/>
      <c r="B265" s="418" t="s">
        <v>290</v>
      </c>
      <c r="C265" s="377">
        <v>300</v>
      </c>
      <c r="D265" s="377">
        <v>300</v>
      </c>
      <c r="E265" s="377">
        <v>300</v>
      </c>
      <c r="F265" s="377">
        <v>300</v>
      </c>
      <c r="G265" s="377">
        <v>300</v>
      </c>
      <c r="H265" s="377">
        <v>300</v>
      </c>
      <c r="I265" s="377">
        <v>300</v>
      </c>
      <c r="J265" s="377">
        <v>300</v>
      </c>
      <c r="K265" s="377">
        <v>300</v>
      </c>
      <c r="L265" s="377">
        <v>300</v>
      </c>
      <c r="M265" s="377">
        <v>300</v>
      </c>
      <c r="N265" s="401">
        <v>300</v>
      </c>
      <c r="O265" s="730">
        <f t="shared" si="19"/>
        <v>315</v>
      </c>
      <c r="P265" s="451">
        <f t="shared" si="20"/>
        <v>315</v>
      </c>
      <c r="Q265" s="451">
        <f t="shared" si="21"/>
        <v>315</v>
      </c>
      <c r="R265" s="452">
        <f t="shared" si="22"/>
        <v>315</v>
      </c>
      <c r="S265" s="672">
        <v>0.05</v>
      </c>
      <c r="X265" s="357"/>
      <c r="Y265" s="357"/>
      <c r="Z265" s="357"/>
      <c r="AA265" s="357"/>
      <c r="AB265" s="357"/>
      <c r="AC265" s="357"/>
      <c r="AD265" s="357"/>
      <c r="AE265" s="357"/>
      <c r="AF265" s="357"/>
      <c r="AG265" s="357"/>
      <c r="AH265" s="357"/>
      <c r="AI265" s="357"/>
      <c r="AJ265" s="357"/>
      <c r="AK265" s="357"/>
      <c r="AL265" s="357"/>
      <c r="AM265" s="357"/>
      <c r="AN265" s="357"/>
      <c r="AO265" s="357"/>
      <c r="AP265" s="357"/>
      <c r="AQ265" s="357"/>
      <c r="AR265" s="357"/>
      <c r="AS265" s="357"/>
      <c r="AT265" s="357"/>
      <c r="AU265" s="357"/>
      <c r="AV265" s="357"/>
      <c r="AW265" s="357"/>
      <c r="AX265" s="357"/>
      <c r="AY265" s="357"/>
      <c r="AZ265" s="357"/>
      <c r="BA265" s="357"/>
      <c r="BB265" s="357"/>
      <c r="BC265" s="357"/>
      <c r="BD265" s="357"/>
    </row>
    <row r="266" spans="1:56">
      <c r="A266" s="1019"/>
      <c r="B266" s="400" t="s">
        <v>291</v>
      </c>
      <c r="C266" s="377">
        <v>300</v>
      </c>
      <c r="D266" s="377">
        <v>300</v>
      </c>
      <c r="E266" s="377">
        <v>300</v>
      </c>
      <c r="F266" s="377">
        <v>300</v>
      </c>
      <c r="G266" s="377">
        <v>300</v>
      </c>
      <c r="H266" s="377">
        <v>300</v>
      </c>
      <c r="I266" s="377">
        <v>300</v>
      </c>
      <c r="J266" s="377">
        <v>300</v>
      </c>
      <c r="K266" s="377">
        <v>300</v>
      </c>
      <c r="L266" s="377">
        <v>300</v>
      </c>
      <c r="M266" s="377">
        <v>300</v>
      </c>
      <c r="N266" s="401">
        <v>300</v>
      </c>
      <c r="O266" s="730">
        <f t="shared" si="19"/>
        <v>315</v>
      </c>
      <c r="P266" s="451">
        <f t="shared" si="20"/>
        <v>315</v>
      </c>
      <c r="Q266" s="451">
        <f t="shared" si="21"/>
        <v>315</v>
      </c>
      <c r="R266" s="452">
        <f t="shared" si="22"/>
        <v>315</v>
      </c>
      <c r="S266" s="672">
        <v>0.05</v>
      </c>
      <c r="X266" s="357"/>
      <c r="Y266" s="357"/>
      <c r="Z266" s="357"/>
      <c r="AA266" s="357"/>
      <c r="AB266" s="357"/>
      <c r="AC266" s="357"/>
      <c r="AD266" s="357"/>
      <c r="AE266" s="357"/>
      <c r="AF266" s="357"/>
      <c r="AG266" s="357"/>
      <c r="AH266" s="357"/>
      <c r="AI266" s="357"/>
      <c r="AJ266" s="357"/>
      <c r="AK266" s="357"/>
      <c r="AL266" s="357"/>
      <c r="AM266" s="357"/>
      <c r="AN266" s="357"/>
      <c r="AO266" s="357"/>
      <c r="AP266" s="357"/>
      <c r="AQ266" s="357"/>
      <c r="AR266" s="357"/>
      <c r="AS266" s="357"/>
      <c r="AT266" s="357"/>
      <c r="AU266" s="357"/>
      <c r="AV266" s="357"/>
      <c r="AW266" s="357"/>
      <c r="AX266" s="357"/>
      <c r="AY266" s="357"/>
      <c r="AZ266" s="357"/>
      <c r="BA266" s="357"/>
      <c r="BB266" s="357"/>
      <c r="BC266" s="357"/>
      <c r="BD266" s="357"/>
    </row>
    <row r="267" spans="1:56">
      <c r="A267" s="1019"/>
      <c r="B267" s="400" t="s">
        <v>292</v>
      </c>
      <c r="C267" s="377">
        <v>300</v>
      </c>
      <c r="D267" s="377">
        <v>300</v>
      </c>
      <c r="E267" s="377">
        <v>300</v>
      </c>
      <c r="F267" s="377">
        <v>300</v>
      </c>
      <c r="G267" s="377">
        <v>300</v>
      </c>
      <c r="H267" s="377">
        <v>300</v>
      </c>
      <c r="I267" s="377">
        <v>300</v>
      </c>
      <c r="J267" s="377">
        <v>300</v>
      </c>
      <c r="K267" s="377">
        <v>300</v>
      </c>
      <c r="L267" s="377">
        <v>300</v>
      </c>
      <c r="M267" s="377">
        <v>300</v>
      </c>
      <c r="N267" s="401">
        <v>300</v>
      </c>
      <c r="O267" s="730">
        <f t="shared" si="19"/>
        <v>315</v>
      </c>
      <c r="P267" s="451">
        <f t="shared" si="20"/>
        <v>315</v>
      </c>
      <c r="Q267" s="451">
        <f t="shared" si="21"/>
        <v>315</v>
      </c>
      <c r="R267" s="452">
        <f t="shared" si="22"/>
        <v>315</v>
      </c>
      <c r="S267" s="672">
        <v>0.05</v>
      </c>
      <c r="X267" s="357"/>
      <c r="Y267" s="357"/>
      <c r="Z267" s="357"/>
      <c r="AA267" s="357"/>
      <c r="AB267" s="357"/>
      <c r="AC267" s="357"/>
      <c r="AD267" s="357"/>
      <c r="AE267" s="357"/>
      <c r="AF267" s="357"/>
      <c r="AG267" s="357"/>
      <c r="AH267" s="357"/>
      <c r="AI267" s="357"/>
      <c r="AJ267" s="357"/>
      <c r="AK267" s="357"/>
      <c r="AL267" s="357"/>
      <c r="AM267" s="357"/>
      <c r="AN267" s="357"/>
      <c r="AO267" s="357"/>
      <c r="AP267" s="357"/>
      <c r="AQ267" s="357"/>
      <c r="AR267" s="357"/>
      <c r="AS267" s="357"/>
      <c r="AT267" s="357"/>
      <c r="AU267" s="357"/>
      <c r="AV267" s="357"/>
      <c r="AW267" s="357"/>
      <c r="AX267" s="357"/>
      <c r="AY267" s="357"/>
      <c r="AZ267" s="357"/>
      <c r="BA267" s="357"/>
      <c r="BB267" s="357"/>
      <c r="BC267" s="357"/>
      <c r="BD267" s="357"/>
    </row>
    <row r="268" spans="1:56">
      <c r="A268" s="1019"/>
      <c r="B268" s="400" t="s">
        <v>293</v>
      </c>
      <c r="C268" s="377">
        <v>300</v>
      </c>
      <c r="D268" s="377">
        <v>300</v>
      </c>
      <c r="E268" s="377">
        <v>300</v>
      </c>
      <c r="F268" s="377">
        <v>300</v>
      </c>
      <c r="G268" s="377">
        <v>300</v>
      </c>
      <c r="H268" s="377">
        <v>300</v>
      </c>
      <c r="I268" s="377">
        <v>300</v>
      </c>
      <c r="J268" s="377">
        <v>300</v>
      </c>
      <c r="K268" s="377">
        <v>300</v>
      </c>
      <c r="L268" s="377">
        <v>300</v>
      </c>
      <c r="M268" s="377">
        <v>300</v>
      </c>
      <c r="N268" s="401">
        <v>300</v>
      </c>
      <c r="O268" s="730">
        <f t="shared" si="19"/>
        <v>315</v>
      </c>
      <c r="P268" s="451">
        <f t="shared" si="20"/>
        <v>315</v>
      </c>
      <c r="Q268" s="451">
        <f t="shared" si="21"/>
        <v>315</v>
      </c>
      <c r="R268" s="452">
        <f t="shared" si="22"/>
        <v>315</v>
      </c>
      <c r="S268" s="672">
        <v>0.05</v>
      </c>
      <c r="X268" s="357"/>
      <c r="Y268" s="357"/>
      <c r="Z268" s="357"/>
      <c r="AA268" s="357"/>
      <c r="AB268" s="357"/>
      <c r="AC268" s="357"/>
      <c r="AD268" s="357"/>
      <c r="AE268" s="357"/>
      <c r="AF268" s="357"/>
      <c r="AG268" s="357"/>
      <c r="AH268" s="357"/>
      <c r="AI268" s="357"/>
      <c r="AJ268" s="357"/>
      <c r="AK268" s="357"/>
      <c r="AL268" s="357"/>
      <c r="AM268" s="357"/>
      <c r="AN268" s="357"/>
      <c r="AO268" s="357"/>
      <c r="AP268" s="357"/>
      <c r="AQ268" s="357"/>
      <c r="AR268" s="357"/>
      <c r="AS268" s="357"/>
      <c r="AT268" s="357"/>
      <c r="AU268" s="357"/>
      <c r="AV268" s="357"/>
      <c r="AW268" s="357"/>
      <c r="AX268" s="357"/>
      <c r="AY268" s="357"/>
      <c r="AZ268" s="357"/>
      <c r="BA268" s="357"/>
      <c r="BB268" s="357"/>
      <c r="BC268" s="357"/>
      <c r="BD268" s="357"/>
    </row>
    <row r="269" spans="1:56">
      <c r="A269" s="1019"/>
      <c r="B269" s="400" t="s">
        <v>294</v>
      </c>
      <c r="C269" s="377">
        <v>300</v>
      </c>
      <c r="D269" s="377">
        <v>300</v>
      </c>
      <c r="E269" s="377">
        <v>300</v>
      </c>
      <c r="F269" s="377">
        <v>300</v>
      </c>
      <c r="G269" s="377">
        <v>300</v>
      </c>
      <c r="H269" s="377">
        <v>300</v>
      </c>
      <c r="I269" s="377">
        <v>300</v>
      </c>
      <c r="J269" s="377">
        <v>300</v>
      </c>
      <c r="K269" s="377">
        <v>300</v>
      </c>
      <c r="L269" s="377">
        <v>300</v>
      </c>
      <c r="M269" s="377">
        <v>300</v>
      </c>
      <c r="N269" s="401">
        <v>300</v>
      </c>
      <c r="O269" s="730">
        <f t="shared" si="19"/>
        <v>315</v>
      </c>
      <c r="P269" s="451">
        <f t="shared" si="20"/>
        <v>315</v>
      </c>
      <c r="Q269" s="451">
        <f t="shared" si="21"/>
        <v>315</v>
      </c>
      <c r="R269" s="452">
        <f t="shared" si="22"/>
        <v>315</v>
      </c>
      <c r="S269" s="672">
        <v>0.05</v>
      </c>
      <c r="X269" s="357"/>
      <c r="Y269" s="357"/>
      <c r="Z269" s="357"/>
      <c r="AA269" s="357"/>
      <c r="AB269" s="357"/>
      <c r="AC269" s="357"/>
      <c r="AD269" s="357"/>
      <c r="AE269" s="357"/>
      <c r="AF269" s="357"/>
      <c r="AG269" s="357"/>
      <c r="AH269" s="357"/>
      <c r="AI269" s="357"/>
      <c r="AJ269" s="357"/>
      <c r="AK269" s="357"/>
      <c r="AL269" s="357"/>
      <c r="AM269" s="357"/>
      <c r="AN269" s="357"/>
      <c r="AO269" s="357"/>
      <c r="AP269" s="357"/>
      <c r="AQ269" s="357"/>
      <c r="AR269" s="357"/>
      <c r="AS269" s="357"/>
      <c r="AT269" s="357"/>
      <c r="AU269" s="357"/>
      <c r="AV269" s="357"/>
      <c r="AW269" s="357"/>
      <c r="AX269" s="357"/>
      <c r="AY269" s="357"/>
      <c r="AZ269" s="357"/>
      <c r="BA269" s="357"/>
      <c r="BB269" s="357"/>
      <c r="BC269" s="357"/>
      <c r="BD269" s="357"/>
    </row>
    <row r="270" spans="1:56">
      <c r="A270" s="1019"/>
      <c r="B270" s="400" t="s">
        <v>295</v>
      </c>
      <c r="C270" s="377">
        <v>300</v>
      </c>
      <c r="D270" s="377">
        <v>300</v>
      </c>
      <c r="E270" s="377">
        <v>300</v>
      </c>
      <c r="F270" s="377">
        <v>300</v>
      </c>
      <c r="G270" s="377">
        <v>300</v>
      </c>
      <c r="H270" s="377">
        <v>300</v>
      </c>
      <c r="I270" s="377">
        <v>300</v>
      </c>
      <c r="J270" s="377">
        <v>300</v>
      </c>
      <c r="K270" s="377">
        <v>300</v>
      </c>
      <c r="L270" s="377">
        <v>300</v>
      </c>
      <c r="M270" s="377">
        <v>300</v>
      </c>
      <c r="N270" s="401">
        <v>300</v>
      </c>
      <c r="O270" s="730">
        <f t="shared" si="19"/>
        <v>315</v>
      </c>
      <c r="P270" s="451">
        <f t="shared" si="20"/>
        <v>315</v>
      </c>
      <c r="Q270" s="451">
        <f t="shared" si="21"/>
        <v>315</v>
      </c>
      <c r="R270" s="452">
        <f t="shared" si="22"/>
        <v>315</v>
      </c>
      <c r="S270" s="672">
        <v>0.05</v>
      </c>
      <c r="X270" s="357"/>
      <c r="Y270" s="357"/>
      <c r="Z270" s="357"/>
      <c r="AA270" s="357"/>
      <c r="AB270" s="357"/>
      <c r="AC270" s="357"/>
      <c r="AD270" s="357"/>
      <c r="AE270" s="357"/>
      <c r="AF270" s="357"/>
      <c r="AG270" s="357"/>
      <c r="AH270" s="357"/>
      <c r="AI270" s="357"/>
      <c r="AJ270" s="357"/>
      <c r="AK270" s="357"/>
      <c r="AL270" s="357"/>
      <c r="AM270" s="357"/>
      <c r="AN270" s="357"/>
      <c r="AO270" s="357"/>
      <c r="AP270" s="357"/>
      <c r="AQ270" s="357"/>
      <c r="AR270" s="357"/>
      <c r="AS270" s="357"/>
      <c r="AT270" s="357"/>
      <c r="AU270" s="357"/>
      <c r="AV270" s="357"/>
      <c r="AW270" s="357"/>
      <c r="AX270" s="357"/>
      <c r="AY270" s="357"/>
      <c r="AZ270" s="357"/>
      <c r="BA270" s="357"/>
      <c r="BB270" s="357"/>
      <c r="BC270" s="357"/>
      <c r="BD270" s="357"/>
    </row>
    <row r="271" spans="1:56">
      <c r="A271" s="1019"/>
      <c r="B271" s="400" t="s">
        <v>327</v>
      </c>
      <c r="C271" s="377">
        <v>300</v>
      </c>
      <c r="D271" s="377">
        <v>300</v>
      </c>
      <c r="E271" s="377">
        <v>300</v>
      </c>
      <c r="F271" s="377">
        <v>300</v>
      </c>
      <c r="G271" s="377">
        <v>300</v>
      </c>
      <c r="H271" s="377">
        <v>300</v>
      </c>
      <c r="I271" s="377">
        <v>300</v>
      </c>
      <c r="J271" s="377">
        <v>300</v>
      </c>
      <c r="K271" s="377">
        <v>300</v>
      </c>
      <c r="L271" s="377">
        <v>300</v>
      </c>
      <c r="M271" s="377">
        <v>300</v>
      </c>
      <c r="N271" s="401">
        <v>300</v>
      </c>
      <c r="O271" s="730">
        <f t="shared" si="19"/>
        <v>315</v>
      </c>
      <c r="P271" s="451">
        <f t="shared" si="20"/>
        <v>315</v>
      </c>
      <c r="Q271" s="451">
        <f t="shared" si="21"/>
        <v>315</v>
      </c>
      <c r="R271" s="452">
        <f t="shared" si="22"/>
        <v>315</v>
      </c>
      <c r="S271" s="672">
        <v>0.05</v>
      </c>
      <c r="X271" s="357"/>
      <c r="Y271" s="357"/>
      <c r="Z271" s="357"/>
      <c r="AA271" s="357"/>
      <c r="AB271" s="357"/>
      <c r="AC271" s="357"/>
      <c r="AD271" s="357"/>
      <c r="AE271" s="357"/>
      <c r="AF271" s="357"/>
      <c r="AG271" s="357"/>
      <c r="AH271" s="357"/>
      <c r="AI271" s="357"/>
      <c r="AJ271" s="357"/>
      <c r="AK271" s="357"/>
      <c r="AL271" s="357"/>
      <c r="AM271" s="357"/>
      <c r="AN271" s="357"/>
      <c r="AO271" s="357"/>
      <c r="AP271" s="357"/>
      <c r="AQ271" s="357"/>
      <c r="AR271" s="357"/>
      <c r="AS271" s="357"/>
      <c r="AT271" s="357"/>
      <c r="AU271" s="357"/>
      <c r="AV271" s="357"/>
      <c r="AW271" s="357"/>
      <c r="AX271" s="357"/>
      <c r="AY271" s="357"/>
      <c r="AZ271" s="357"/>
      <c r="BA271" s="357"/>
      <c r="BB271" s="357"/>
      <c r="BC271" s="357"/>
      <c r="BD271" s="357"/>
    </row>
    <row r="272" spans="1:56">
      <c r="A272" s="1019"/>
      <c r="B272" s="400" t="s">
        <v>296</v>
      </c>
      <c r="C272" s="377">
        <v>300</v>
      </c>
      <c r="D272" s="377">
        <v>300</v>
      </c>
      <c r="E272" s="377">
        <v>300</v>
      </c>
      <c r="F272" s="377">
        <v>300</v>
      </c>
      <c r="G272" s="377">
        <v>300</v>
      </c>
      <c r="H272" s="377">
        <v>300</v>
      </c>
      <c r="I272" s="377">
        <v>300</v>
      </c>
      <c r="J272" s="377">
        <v>300</v>
      </c>
      <c r="K272" s="377">
        <v>300</v>
      </c>
      <c r="L272" s="377">
        <v>300</v>
      </c>
      <c r="M272" s="377">
        <v>300</v>
      </c>
      <c r="N272" s="401">
        <v>300</v>
      </c>
      <c r="O272" s="730">
        <f t="shared" si="19"/>
        <v>315</v>
      </c>
      <c r="P272" s="451">
        <f t="shared" si="20"/>
        <v>315</v>
      </c>
      <c r="Q272" s="451">
        <f t="shared" si="21"/>
        <v>315</v>
      </c>
      <c r="R272" s="452">
        <f t="shared" si="22"/>
        <v>315</v>
      </c>
      <c r="S272" s="672">
        <v>0.05</v>
      </c>
      <c r="X272" s="357"/>
      <c r="Y272" s="357"/>
      <c r="Z272" s="357"/>
      <c r="AA272" s="357"/>
      <c r="AB272" s="357"/>
      <c r="AC272" s="357"/>
      <c r="AD272" s="357"/>
      <c r="AE272" s="357"/>
      <c r="AF272" s="357"/>
      <c r="AG272" s="357"/>
      <c r="AH272" s="357"/>
      <c r="AI272" s="357"/>
      <c r="AJ272" s="357"/>
      <c r="AK272" s="357"/>
      <c r="AL272" s="357"/>
      <c r="AM272" s="357"/>
      <c r="AN272" s="357"/>
      <c r="AO272" s="357"/>
      <c r="AP272" s="357"/>
      <c r="AQ272" s="357"/>
      <c r="AR272" s="357"/>
      <c r="AS272" s="357"/>
      <c r="AT272" s="357"/>
      <c r="AU272" s="357"/>
      <c r="AV272" s="357"/>
      <c r="AW272" s="357"/>
      <c r="AX272" s="357"/>
      <c r="AY272" s="357"/>
      <c r="AZ272" s="357"/>
      <c r="BA272" s="357"/>
      <c r="BB272" s="357"/>
      <c r="BC272" s="357"/>
      <c r="BD272" s="357"/>
    </row>
    <row r="273" spans="1:56">
      <c r="A273" s="1019"/>
      <c r="B273" s="400" t="s">
        <v>297</v>
      </c>
      <c r="C273" s="377">
        <v>300</v>
      </c>
      <c r="D273" s="377">
        <v>300</v>
      </c>
      <c r="E273" s="377">
        <v>300</v>
      </c>
      <c r="F273" s="377">
        <v>300</v>
      </c>
      <c r="G273" s="377">
        <v>300</v>
      </c>
      <c r="H273" s="377">
        <v>300</v>
      </c>
      <c r="I273" s="377">
        <v>300</v>
      </c>
      <c r="J273" s="377">
        <v>300</v>
      </c>
      <c r="K273" s="377">
        <v>300</v>
      </c>
      <c r="L273" s="377">
        <v>300</v>
      </c>
      <c r="M273" s="377">
        <v>300</v>
      </c>
      <c r="N273" s="401">
        <v>300</v>
      </c>
      <c r="O273" s="730">
        <f t="shared" si="19"/>
        <v>315</v>
      </c>
      <c r="P273" s="451">
        <f t="shared" si="20"/>
        <v>315</v>
      </c>
      <c r="Q273" s="451">
        <f t="shared" si="21"/>
        <v>315</v>
      </c>
      <c r="R273" s="452">
        <f t="shared" si="22"/>
        <v>315</v>
      </c>
      <c r="S273" s="672">
        <v>0.05</v>
      </c>
      <c r="X273" s="357"/>
      <c r="Y273" s="357"/>
      <c r="Z273" s="357"/>
      <c r="AA273" s="357"/>
      <c r="AB273" s="357"/>
      <c r="AC273" s="357"/>
      <c r="AD273" s="357"/>
      <c r="AE273" s="357"/>
      <c r="AF273" s="357"/>
      <c r="AG273" s="357"/>
      <c r="AH273" s="357"/>
      <c r="AI273" s="357"/>
      <c r="AJ273" s="357"/>
      <c r="AK273" s="357"/>
      <c r="AL273" s="357"/>
      <c r="AM273" s="357"/>
      <c r="AN273" s="357"/>
      <c r="AO273" s="357"/>
      <c r="AP273" s="357"/>
      <c r="AQ273" s="357"/>
      <c r="AR273" s="357"/>
      <c r="AS273" s="357"/>
      <c r="AT273" s="357"/>
      <c r="AU273" s="357"/>
      <c r="AV273" s="357"/>
      <c r="AW273" s="357"/>
      <c r="AX273" s="357"/>
      <c r="AY273" s="357"/>
      <c r="AZ273" s="357"/>
      <c r="BA273" s="357"/>
      <c r="BB273" s="357"/>
      <c r="BC273" s="357"/>
      <c r="BD273" s="357"/>
    </row>
    <row r="274" spans="1:56">
      <c r="A274" s="1019"/>
      <c r="B274" s="400" t="s">
        <v>328</v>
      </c>
      <c r="C274" s="377">
        <v>300</v>
      </c>
      <c r="D274" s="377">
        <v>300</v>
      </c>
      <c r="E274" s="377">
        <v>300</v>
      </c>
      <c r="F274" s="377">
        <v>300</v>
      </c>
      <c r="G274" s="377">
        <v>300</v>
      </c>
      <c r="H274" s="377">
        <v>300</v>
      </c>
      <c r="I274" s="377">
        <v>300</v>
      </c>
      <c r="J274" s="377">
        <v>300</v>
      </c>
      <c r="K274" s="377">
        <v>300</v>
      </c>
      <c r="L274" s="377">
        <v>300</v>
      </c>
      <c r="M274" s="377">
        <v>300</v>
      </c>
      <c r="N274" s="401">
        <v>300</v>
      </c>
      <c r="O274" s="730">
        <f t="shared" si="19"/>
        <v>315</v>
      </c>
      <c r="P274" s="451">
        <f t="shared" si="20"/>
        <v>315</v>
      </c>
      <c r="Q274" s="451">
        <f t="shared" si="21"/>
        <v>315</v>
      </c>
      <c r="R274" s="452">
        <f t="shared" si="22"/>
        <v>315</v>
      </c>
      <c r="S274" s="672">
        <v>0.05</v>
      </c>
      <c r="X274" s="357"/>
      <c r="Y274" s="357"/>
      <c r="Z274" s="357"/>
      <c r="AA274" s="357"/>
      <c r="AB274" s="357"/>
      <c r="AC274" s="357"/>
      <c r="AD274" s="357"/>
      <c r="AE274" s="357"/>
      <c r="AF274" s="357"/>
      <c r="AG274" s="357"/>
      <c r="AH274" s="357"/>
      <c r="AI274" s="357"/>
      <c r="AJ274" s="357"/>
      <c r="AK274" s="357"/>
      <c r="AL274" s="357"/>
      <c r="AM274" s="357"/>
      <c r="AN274" s="357"/>
      <c r="AO274" s="357"/>
      <c r="AP274" s="357"/>
      <c r="AQ274" s="357"/>
      <c r="AR274" s="357"/>
      <c r="AS274" s="357"/>
      <c r="AT274" s="357"/>
      <c r="AU274" s="357"/>
      <c r="AV274" s="357"/>
      <c r="AW274" s="357"/>
      <c r="AX274" s="357"/>
      <c r="AY274" s="357"/>
      <c r="AZ274" s="357"/>
      <c r="BA274" s="357"/>
      <c r="BB274" s="357"/>
      <c r="BC274" s="357"/>
      <c r="BD274" s="357"/>
    </row>
    <row r="275" spans="1:56">
      <c r="A275" s="1019"/>
      <c r="B275" s="400" t="s">
        <v>251</v>
      </c>
      <c r="C275" s="377">
        <v>300</v>
      </c>
      <c r="D275" s="377">
        <v>300</v>
      </c>
      <c r="E275" s="377">
        <v>300</v>
      </c>
      <c r="F275" s="377">
        <v>300</v>
      </c>
      <c r="G275" s="377">
        <v>300</v>
      </c>
      <c r="H275" s="377">
        <v>300</v>
      </c>
      <c r="I275" s="377">
        <v>300</v>
      </c>
      <c r="J275" s="377">
        <v>300</v>
      </c>
      <c r="K275" s="377">
        <v>300</v>
      </c>
      <c r="L275" s="377">
        <v>300</v>
      </c>
      <c r="M275" s="377">
        <v>300</v>
      </c>
      <c r="N275" s="401">
        <v>300</v>
      </c>
      <c r="O275" s="730">
        <f t="shared" si="19"/>
        <v>315</v>
      </c>
      <c r="P275" s="451">
        <f t="shared" si="20"/>
        <v>315</v>
      </c>
      <c r="Q275" s="451">
        <f t="shared" si="21"/>
        <v>315</v>
      </c>
      <c r="R275" s="452">
        <f t="shared" si="22"/>
        <v>315</v>
      </c>
      <c r="S275" s="672">
        <v>0.05</v>
      </c>
      <c r="X275" s="357"/>
      <c r="Y275" s="357"/>
      <c r="Z275" s="357"/>
      <c r="AA275" s="357"/>
      <c r="AB275" s="357"/>
      <c r="AC275" s="357"/>
      <c r="AD275" s="357"/>
      <c r="AE275" s="357"/>
      <c r="AF275" s="357"/>
      <c r="AG275" s="357"/>
      <c r="AH275" s="357"/>
      <c r="AI275" s="357"/>
      <c r="AJ275" s="357"/>
      <c r="AK275" s="357"/>
      <c r="AL275" s="357"/>
      <c r="AM275" s="357"/>
      <c r="AN275" s="357"/>
      <c r="AO275" s="357"/>
      <c r="AP275" s="357"/>
      <c r="AQ275" s="357"/>
      <c r="AR275" s="357"/>
      <c r="AS275" s="357"/>
      <c r="AT275" s="357"/>
      <c r="AU275" s="357"/>
      <c r="AV275" s="357"/>
      <c r="AW275" s="357"/>
      <c r="AX275" s="357"/>
      <c r="AY275" s="357"/>
      <c r="AZ275" s="357"/>
      <c r="BA275" s="357"/>
      <c r="BB275" s="357"/>
      <c r="BC275" s="357"/>
      <c r="BD275" s="357"/>
    </row>
    <row r="276" spans="1:56">
      <c r="A276" s="1019"/>
      <c r="B276" s="400" t="s">
        <v>298</v>
      </c>
      <c r="C276" s="377">
        <v>300</v>
      </c>
      <c r="D276" s="377">
        <v>300</v>
      </c>
      <c r="E276" s="377">
        <v>300</v>
      </c>
      <c r="F276" s="377">
        <v>300</v>
      </c>
      <c r="G276" s="377">
        <v>300</v>
      </c>
      <c r="H276" s="377">
        <v>300</v>
      </c>
      <c r="I276" s="377">
        <v>300</v>
      </c>
      <c r="J276" s="377">
        <v>300</v>
      </c>
      <c r="K276" s="377">
        <v>300</v>
      </c>
      <c r="L276" s="377">
        <v>300</v>
      </c>
      <c r="M276" s="377">
        <v>300</v>
      </c>
      <c r="N276" s="401">
        <v>300</v>
      </c>
      <c r="O276" s="730">
        <f t="shared" si="19"/>
        <v>315</v>
      </c>
      <c r="P276" s="451">
        <f t="shared" si="20"/>
        <v>315</v>
      </c>
      <c r="Q276" s="451">
        <f t="shared" si="21"/>
        <v>315</v>
      </c>
      <c r="R276" s="452">
        <f t="shared" si="22"/>
        <v>315</v>
      </c>
      <c r="S276" s="672">
        <v>0.05</v>
      </c>
      <c r="X276" s="357"/>
      <c r="Y276" s="357"/>
      <c r="Z276" s="357"/>
      <c r="AA276" s="357"/>
      <c r="AB276" s="357"/>
      <c r="AC276" s="357"/>
      <c r="AD276" s="357"/>
      <c r="AE276" s="357"/>
      <c r="AF276" s="357"/>
      <c r="AG276" s="357"/>
      <c r="AH276" s="357"/>
      <c r="AI276" s="357"/>
      <c r="AJ276" s="357"/>
      <c r="AK276" s="357"/>
      <c r="AL276" s="357"/>
      <c r="AM276" s="357"/>
      <c r="AN276" s="357"/>
      <c r="AO276" s="357"/>
      <c r="AP276" s="357"/>
      <c r="AQ276" s="357"/>
      <c r="AR276" s="357"/>
      <c r="AS276" s="357"/>
      <c r="AT276" s="357"/>
      <c r="AU276" s="357"/>
      <c r="AV276" s="357"/>
      <c r="AW276" s="357"/>
      <c r="AX276" s="357"/>
      <c r="AY276" s="357"/>
      <c r="AZ276" s="357"/>
      <c r="BA276" s="357"/>
      <c r="BB276" s="357"/>
      <c r="BC276" s="357"/>
      <c r="BD276" s="357"/>
    </row>
    <row r="277" spans="1:56">
      <c r="A277" s="1019"/>
      <c r="B277" s="400" t="s">
        <v>299</v>
      </c>
      <c r="C277" s="377">
        <v>300</v>
      </c>
      <c r="D277" s="377">
        <v>300</v>
      </c>
      <c r="E277" s="377">
        <v>300</v>
      </c>
      <c r="F277" s="377">
        <v>300</v>
      </c>
      <c r="G277" s="377">
        <v>300</v>
      </c>
      <c r="H277" s="377">
        <v>300</v>
      </c>
      <c r="I277" s="377">
        <v>300</v>
      </c>
      <c r="J277" s="377">
        <v>300</v>
      </c>
      <c r="K277" s="377">
        <v>300</v>
      </c>
      <c r="L277" s="377">
        <v>300</v>
      </c>
      <c r="M277" s="377">
        <v>300</v>
      </c>
      <c r="N277" s="401">
        <v>300</v>
      </c>
      <c r="O277" s="730">
        <f t="shared" si="19"/>
        <v>315</v>
      </c>
      <c r="P277" s="451">
        <f t="shared" si="20"/>
        <v>315</v>
      </c>
      <c r="Q277" s="451">
        <f t="shared" si="21"/>
        <v>315</v>
      </c>
      <c r="R277" s="452">
        <f t="shared" si="22"/>
        <v>315</v>
      </c>
      <c r="S277" s="672">
        <v>0.05</v>
      </c>
      <c r="X277" s="357"/>
      <c r="Y277" s="357"/>
      <c r="Z277" s="357"/>
      <c r="AA277" s="357"/>
      <c r="AB277" s="357"/>
      <c r="AC277" s="357"/>
      <c r="AD277" s="357"/>
      <c r="AE277" s="357"/>
      <c r="AF277" s="357"/>
      <c r="AG277" s="357"/>
      <c r="AH277" s="357"/>
      <c r="AI277" s="357"/>
      <c r="AJ277" s="357"/>
      <c r="AK277" s="357"/>
      <c r="AL277" s="357"/>
      <c r="AM277" s="357"/>
      <c r="AN277" s="357"/>
      <c r="AO277" s="357"/>
      <c r="AP277" s="357"/>
      <c r="AQ277" s="357"/>
      <c r="AR277" s="357"/>
      <c r="AS277" s="357"/>
      <c r="AT277" s="357"/>
      <c r="AU277" s="357"/>
      <c r="AV277" s="357"/>
      <c r="AW277" s="357"/>
      <c r="AX277" s="357"/>
      <c r="AY277" s="357"/>
      <c r="AZ277" s="357"/>
      <c r="BA277" s="357"/>
      <c r="BB277" s="357"/>
      <c r="BC277" s="357"/>
      <c r="BD277" s="357"/>
    </row>
    <row r="278" spans="1:56">
      <c r="A278" s="1019"/>
      <c r="B278" s="400" t="s">
        <v>300</v>
      </c>
      <c r="C278" s="377">
        <v>300</v>
      </c>
      <c r="D278" s="377">
        <v>300</v>
      </c>
      <c r="E278" s="377">
        <v>300</v>
      </c>
      <c r="F278" s="377">
        <v>300</v>
      </c>
      <c r="G278" s="377">
        <v>300</v>
      </c>
      <c r="H278" s="377">
        <v>300</v>
      </c>
      <c r="I278" s="377">
        <v>300</v>
      </c>
      <c r="J278" s="377">
        <v>300</v>
      </c>
      <c r="K278" s="377">
        <v>300</v>
      </c>
      <c r="L278" s="377">
        <v>300</v>
      </c>
      <c r="M278" s="377">
        <v>300</v>
      </c>
      <c r="N278" s="401">
        <v>300</v>
      </c>
      <c r="O278" s="730">
        <f t="shared" si="19"/>
        <v>315</v>
      </c>
      <c r="P278" s="451">
        <f t="shared" si="20"/>
        <v>315</v>
      </c>
      <c r="Q278" s="451">
        <f t="shared" si="21"/>
        <v>315</v>
      </c>
      <c r="R278" s="452">
        <f t="shared" si="22"/>
        <v>315</v>
      </c>
      <c r="S278" s="672">
        <v>0.05</v>
      </c>
      <c r="X278" s="357"/>
      <c r="Y278" s="357"/>
      <c r="Z278" s="357"/>
      <c r="AA278" s="357"/>
      <c r="AB278" s="357"/>
      <c r="AC278" s="357"/>
      <c r="AD278" s="357"/>
      <c r="AE278" s="357"/>
      <c r="AF278" s="357"/>
      <c r="AG278" s="357"/>
      <c r="AH278" s="357"/>
      <c r="AI278" s="357"/>
      <c r="AJ278" s="357"/>
      <c r="AK278" s="357"/>
      <c r="AL278" s="357"/>
      <c r="AM278" s="357"/>
      <c r="AN278" s="357"/>
      <c r="AO278" s="357"/>
      <c r="AP278" s="357"/>
      <c r="AQ278" s="357"/>
      <c r="AR278" s="357"/>
      <c r="AS278" s="357"/>
      <c r="AT278" s="357"/>
      <c r="AU278" s="357"/>
      <c r="AV278" s="357"/>
      <c r="AW278" s="357"/>
      <c r="AX278" s="357"/>
      <c r="AY278" s="357"/>
      <c r="AZ278" s="357"/>
      <c r="BA278" s="357"/>
      <c r="BB278" s="357"/>
      <c r="BC278" s="357"/>
      <c r="BD278" s="357"/>
    </row>
    <row r="279" spans="1:56">
      <c r="A279" s="1019"/>
      <c r="B279" s="320" t="s">
        <v>301</v>
      </c>
      <c r="C279" s="318">
        <v>300</v>
      </c>
      <c r="D279" s="318">
        <v>300</v>
      </c>
      <c r="E279" s="318">
        <v>300</v>
      </c>
      <c r="F279" s="318">
        <v>300</v>
      </c>
      <c r="G279" s="318">
        <v>300</v>
      </c>
      <c r="H279" s="318">
        <v>300</v>
      </c>
      <c r="I279" s="318">
        <v>300</v>
      </c>
      <c r="J279" s="318">
        <v>300</v>
      </c>
      <c r="K279" s="318">
        <v>300</v>
      </c>
      <c r="L279" s="318">
        <v>300</v>
      </c>
      <c r="M279" s="318">
        <v>300</v>
      </c>
      <c r="N279" s="324">
        <v>300</v>
      </c>
      <c r="O279" s="730">
        <f t="shared" si="19"/>
        <v>315</v>
      </c>
      <c r="P279" s="451">
        <f t="shared" si="20"/>
        <v>315</v>
      </c>
      <c r="Q279" s="451">
        <f t="shared" si="21"/>
        <v>315</v>
      </c>
      <c r="R279" s="452">
        <f t="shared" si="22"/>
        <v>315</v>
      </c>
      <c r="S279" s="672">
        <v>0.05</v>
      </c>
      <c r="X279" s="357"/>
      <c r="Y279" s="357"/>
      <c r="Z279" s="357"/>
      <c r="AA279" s="357"/>
      <c r="AB279" s="357"/>
      <c r="AC279" s="357"/>
      <c r="AD279" s="357"/>
      <c r="AE279" s="357"/>
      <c r="AF279" s="357"/>
      <c r="AG279" s="357"/>
      <c r="AH279" s="357"/>
      <c r="AI279" s="357"/>
      <c r="AJ279" s="357"/>
      <c r="AK279" s="357"/>
      <c r="AL279" s="357"/>
      <c r="AM279" s="357"/>
      <c r="AN279" s="357"/>
      <c r="AO279" s="357"/>
      <c r="AP279" s="357"/>
      <c r="AQ279" s="357"/>
      <c r="AR279" s="357"/>
      <c r="AS279" s="357"/>
      <c r="AT279" s="357"/>
      <c r="AU279" s="357"/>
      <c r="AV279" s="357"/>
      <c r="AW279" s="357"/>
      <c r="AX279" s="357"/>
      <c r="AY279" s="357"/>
      <c r="AZ279" s="357"/>
      <c r="BA279" s="357"/>
      <c r="BB279" s="357"/>
      <c r="BC279" s="357"/>
      <c r="BD279" s="357"/>
    </row>
    <row r="280" spans="1:56">
      <c r="A280" s="1019"/>
      <c r="B280" s="320" t="s">
        <v>303</v>
      </c>
      <c r="C280" s="318">
        <v>300</v>
      </c>
      <c r="D280" s="318">
        <v>300</v>
      </c>
      <c r="E280" s="318">
        <v>300</v>
      </c>
      <c r="F280" s="318">
        <v>300</v>
      </c>
      <c r="G280" s="318">
        <v>300</v>
      </c>
      <c r="H280" s="318">
        <v>300</v>
      </c>
      <c r="I280" s="318">
        <v>300</v>
      </c>
      <c r="J280" s="318">
        <v>300</v>
      </c>
      <c r="K280" s="318">
        <v>300</v>
      </c>
      <c r="L280" s="318">
        <v>300</v>
      </c>
      <c r="M280" s="318">
        <v>300</v>
      </c>
      <c r="N280" s="324">
        <v>300</v>
      </c>
      <c r="O280" s="730">
        <f t="shared" si="19"/>
        <v>315</v>
      </c>
      <c r="P280" s="451">
        <f t="shared" si="20"/>
        <v>315</v>
      </c>
      <c r="Q280" s="451">
        <f t="shared" si="21"/>
        <v>315</v>
      </c>
      <c r="R280" s="452">
        <f t="shared" si="22"/>
        <v>315</v>
      </c>
      <c r="S280" s="672">
        <v>0.05</v>
      </c>
      <c r="X280" s="357"/>
      <c r="Y280" s="357"/>
      <c r="Z280" s="357"/>
      <c r="AA280" s="357"/>
      <c r="AB280" s="357"/>
      <c r="AC280" s="357"/>
      <c r="AD280" s="357"/>
      <c r="AE280" s="357"/>
      <c r="AF280" s="357"/>
      <c r="AG280" s="357"/>
      <c r="AH280" s="357"/>
      <c r="AI280" s="357"/>
      <c r="AJ280" s="357"/>
      <c r="AK280" s="357"/>
      <c r="AL280" s="357"/>
      <c r="AM280" s="357"/>
      <c r="AN280" s="357"/>
      <c r="AO280" s="357"/>
      <c r="AP280" s="357"/>
      <c r="AQ280" s="357"/>
      <c r="AR280" s="357"/>
      <c r="AS280" s="357"/>
      <c r="AT280" s="357"/>
      <c r="AU280" s="357"/>
      <c r="AV280" s="357"/>
      <c r="AW280" s="357"/>
      <c r="AX280" s="357"/>
      <c r="AY280" s="357"/>
      <c r="AZ280" s="357"/>
      <c r="BA280" s="357"/>
      <c r="BB280" s="357"/>
      <c r="BC280" s="357"/>
      <c r="BD280" s="357"/>
    </row>
    <row r="281" spans="1:56" ht="16.5" thickBot="1">
      <c r="A281" s="1020"/>
      <c r="B281" s="371" t="s">
        <v>302</v>
      </c>
      <c r="C281" s="419">
        <v>300</v>
      </c>
      <c r="D281" s="419">
        <v>300</v>
      </c>
      <c r="E281" s="419">
        <v>300</v>
      </c>
      <c r="F281" s="419">
        <v>300</v>
      </c>
      <c r="G281" s="419">
        <v>300</v>
      </c>
      <c r="H281" s="419">
        <v>300</v>
      </c>
      <c r="I281" s="419">
        <v>300</v>
      </c>
      <c r="J281" s="419">
        <v>300</v>
      </c>
      <c r="K281" s="419">
        <v>300</v>
      </c>
      <c r="L281" s="419">
        <v>300</v>
      </c>
      <c r="M281" s="419">
        <v>300</v>
      </c>
      <c r="N281" s="546">
        <v>300</v>
      </c>
      <c r="O281" s="731">
        <f t="shared" si="19"/>
        <v>315</v>
      </c>
      <c r="P281" s="732">
        <f t="shared" si="20"/>
        <v>315</v>
      </c>
      <c r="Q281" s="732">
        <f t="shared" si="21"/>
        <v>315</v>
      </c>
      <c r="R281" s="733">
        <f t="shared" si="22"/>
        <v>315</v>
      </c>
      <c r="S281" s="673">
        <v>0.05</v>
      </c>
      <c r="X281" s="357"/>
      <c r="Y281" s="357"/>
      <c r="Z281" s="357"/>
      <c r="AA281" s="357"/>
      <c r="AB281" s="357"/>
      <c r="AC281" s="357"/>
      <c r="AD281" s="357"/>
      <c r="AE281" s="357"/>
      <c r="AF281" s="357"/>
      <c r="AG281" s="357"/>
      <c r="AH281" s="357"/>
      <c r="AI281" s="357"/>
      <c r="AJ281" s="357"/>
      <c r="AK281" s="357"/>
      <c r="AL281" s="357"/>
      <c r="AM281" s="357"/>
      <c r="AN281" s="357"/>
      <c r="AO281" s="357"/>
      <c r="AP281" s="357"/>
      <c r="AQ281" s="357"/>
      <c r="AR281" s="357"/>
      <c r="AS281" s="357"/>
      <c r="AT281" s="357"/>
      <c r="AU281" s="357"/>
      <c r="AV281" s="357"/>
      <c r="AW281" s="357"/>
      <c r="AX281" s="357"/>
      <c r="AY281" s="357"/>
      <c r="AZ281" s="357"/>
      <c r="BA281" s="357"/>
      <c r="BB281" s="357"/>
      <c r="BC281" s="357"/>
      <c r="BD281" s="357"/>
    </row>
    <row r="282" spans="1:56">
      <c r="G282" s="357"/>
      <c r="H282" s="357"/>
      <c r="I282" s="357"/>
      <c r="J282" s="357"/>
      <c r="K282" s="357"/>
      <c r="L282" s="357"/>
      <c r="M282" s="357"/>
      <c r="N282" s="357"/>
      <c r="O282" s="357"/>
      <c r="P282" s="357"/>
      <c r="Q282" s="357"/>
      <c r="R282" s="357"/>
      <c r="S282" s="357"/>
      <c r="X282" s="357"/>
      <c r="Y282" s="357"/>
      <c r="Z282" s="357"/>
      <c r="AA282" s="357"/>
      <c r="AB282" s="357"/>
      <c r="AC282" s="357"/>
      <c r="AD282" s="357"/>
      <c r="AE282" s="357"/>
      <c r="AF282" s="357"/>
      <c r="AG282" s="357"/>
      <c r="AH282" s="357"/>
      <c r="AI282" s="357"/>
      <c r="AJ282" s="357"/>
      <c r="AK282" s="357"/>
      <c r="AL282" s="357"/>
      <c r="AM282" s="357"/>
      <c r="AN282" s="357"/>
      <c r="AO282" s="357"/>
      <c r="AP282" s="357"/>
      <c r="AQ282" s="357"/>
      <c r="AR282" s="357"/>
      <c r="AS282" s="357"/>
      <c r="AT282" s="357"/>
      <c r="AU282" s="357"/>
      <c r="AV282" s="357"/>
      <c r="AW282" s="357"/>
      <c r="AX282" s="357"/>
      <c r="AY282" s="357"/>
      <c r="AZ282" s="357"/>
      <c r="BA282" s="357"/>
      <c r="BB282" s="357"/>
      <c r="BC282" s="357"/>
      <c r="BD282" s="357"/>
    </row>
    <row r="283" spans="1:56">
      <c r="G283" s="357"/>
      <c r="H283" s="357"/>
      <c r="I283" s="357"/>
      <c r="J283" s="357"/>
      <c r="K283" s="357"/>
      <c r="L283" s="357"/>
      <c r="M283" s="357"/>
      <c r="N283" s="357"/>
      <c r="O283" s="357"/>
      <c r="P283" s="357"/>
      <c r="Q283" s="357"/>
      <c r="R283" s="357"/>
      <c r="S283" s="357"/>
      <c r="X283" s="357"/>
      <c r="Y283" s="357"/>
      <c r="Z283" s="357"/>
      <c r="AA283" s="357"/>
      <c r="AB283" s="357"/>
      <c r="AC283" s="357"/>
      <c r="AD283" s="357"/>
      <c r="AE283" s="357"/>
      <c r="AF283" s="357"/>
      <c r="AG283" s="357"/>
      <c r="AH283" s="357"/>
      <c r="AI283" s="357"/>
      <c r="AJ283" s="357"/>
      <c r="AK283" s="357"/>
      <c r="AL283" s="357"/>
      <c r="AM283" s="357"/>
      <c r="AN283" s="357"/>
      <c r="AO283" s="357"/>
      <c r="AP283" s="357"/>
      <c r="AQ283" s="357"/>
      <c r="AR283" s="357"/>
      <c r="AS283" s="357"/>
      <c r="AT283" s="357"/>
      <c r="AU283" s="357"/>
      <c r="AV283" s="357"/>
      <c r="AW283" s="357"/>
      <c r="AX283" s="357"/>
      <c r="AY283" s="357"/>
      <c r="AZ283" s="357"/>
      <c r="BA283" s="357"/>
      <c r="BB283" s="357"/>
      <c r="BC283" s="357"/>
      <c r="BD283" s="357"/>
    </row>
    <row r="284" spans="1:56" ht="16.5" thickBot="1">
      <c r="G284" s="357"/>
      <c r="H284" s="357"/>
      <c r="I284" s="357"/>
      <c r="J284" s="357"/>
      <c r="K284" s="357"/>
      <c r="L284" s="357"/>
      <c r="M284" s="357"/>
      <c r="N284" s="357"/>
      <c r="O284" s="357"/>
      <c r="P284" s="357"/>
      <c r="Q284" s="357"/>
      <c r="R284" s="357"/>
      <c r="S284" s="357"/>
      <c r="X284" s="357"/>
      <c r="Y284" s="357"/>
      <c r="Z284" s="357"/>
      <c r="AA284" s="357"/>
      <c r="AB284" s="357"/>
      <c r="AC284" s="357"/>
      <c r="AD284" s="357"/>
      <c r="AE284" s="357"/>
      <c r="AF284" s="357"/>
      <c r="AG284" s="357"/>
      <c r="AH284" s="357"/>
      <c r="AI284" s="357"/>
      <c r="AJ284" s="357"/>
      <c r="AK284" s="357"/>
      <c r="AL284" s="357"/>
      <c r="AM284" s="357"/>
      <c r="AN284" s="357"/>
      <c r="AO284" s="357"/>
      <c r="AP284" s="357"/>
      <c r="AQ284" s="357"/>
      <c r="AR284" s="357"/>
      <c r="AS284" s="357"/>
      <c r="AT284" s="357"/>
      <c r="AU284" s="357"/>
      <c r="AV284" s="357"/>
      <c r="AW284" s="357"/>
      <c r="AX284" s="357"/>
      <c r="AY284" s="357"/>
      <c r="AZ284" s="357"/>
      <c r="BA284" s="357"/>
      <c r="BB284" s="357"/>
      <c r="BC284" s="357"/>
      <c r="BD284" s="357"/>
    </row>
    <row r="285" spans="1:56" ht="16.5" thickBot="1">
      <c r="A285" s="1059" t="s">
        <v>248</v>
      </c>
      <c r="B285" s="1043" t="s">
        <v>339</v>
      </c>
      <c r="C285" s="1021" t="s">
        <v>338</v>
      </c>
      <c r="D285" s="1022"/>
      <c r="E285" s="1022"/>
      <c r="F285" s="1022"/>
      <c r="G285" s="1022"/>
      <c r="H285" s="1022"/>
      <c r="I285" s="1022"/>
      <c r="J285" s="1022"/>
      <c r="K285" s="1022"/>
      <c r="L285" s="1022"/>
      <c r="M285" s="1022"/>
      <c r="N285" s="1023"/>
      <c r="O285" s="357"/>
      <c r="P285" s="357"/>
      <c r="Q285" s="357"/>
      <c r="R285" s="357"/>
      <c r="S285" s="357"/>
      <c r="X285" s="357"/>
      <c r="Y285" s="357"/>
      <c r="Z285" s="357"/>
      <c r="AA285" s="357"/>
      <c r="AB285" s="357"/>
      <c r="AC285" s="357"/>
      <c r="AD285" s="357"/>
      <c r="AE285" s="357"/>
      <c r="AF285" s="357"/>
      <c r="AG285" s="357"/>
      <c r="AH285" s="357"/>
      <c r="AI285" s="357"/>
      <c r="AJ285" s="357"/>
      <c r="AK285" s="357"/>
      <c r="AL285" s="357"/>
      <c r="AM285" s="357"/>
      <c r="AN285" s="357"/>
      <c r="AO285" s="357"/>
      <c r="AP285" s="357"/>
      <c r="AQ285" s="357"/>
      <c r="AR285" s="357"/>
      <c r="AS285" s="357"/>
      <c r="AT285" s="357"/>
      <c r="AU285" s="357"/>
      <c r="AV285" s="357"/>
      <c r="AW285" s="357"/>
      <c r="AX285" s="357"/>
      <c r="AY285" s="357"/>
      <c r="AZ285" s="357"/>
      <c r="BA285" s="357"/>
      <c r="BB285" s="357"/>
      <c r="BC285" s="357"/>
      <c r="BD285" s="357"/>
    </row>
    <row r="286" spans="1:56" ht="16.5" thickBot="1">
      <c r="A286" s="1074"/>
      <c r="B286" s="1075"/>
      <c r="C286" s="420">
        <v>44652</v>
      </c>
      <c r="D286" s="421">
        <v>44682</v>
      </c>
      <c r="E286" s="420">
        <v>44713</v>
      </c>
      <c r="F286" s="421">
        <v>44743</v>
      </c>
      <c r="G286" s="420">
        <v>44774</v>
      </c>
      <c r="H286" s="421">
        <v>44805</v>
      </c>
      <c r="I286" s="420">
        <v>44835</v>
      </c>
      <c r="J286" s="421">
        <v>44866</v>
      </c>
      <c r="K286" s="420">
        <v>44896</v>
      </c>
      <c r="L286" s="421">
        <v>44927</v>
      </c>
      <c r="M286" s="420">
        <v>44958</v>
      </c>
      <c r="N286" s="421">
        <v>44986</v>
      </c>
      <c r="O286" s="357"/>
      <c r="P286" s="357"/>
      <c r="Q286" s="357"/>
      <c r="R286" s="357"/>
      <c r="S286" s="357"/>
      <c r="X286" s="357"/>
      <c r="Y286" s="357"/>
      <c r="Z286" s="357"/>
      <c r="AA286" s="357"/>
      <c r="AB286" s="357"/>
      <c r="AC286" s="357"/>
      <c r="AD286" s="357"/>
      <c r="AE286" s="357"/>
      <c r="AF286" s="357"/>
      <c r="AG286" s="357"/>
      <c r="AH286" s="357"/>
      <c r="AI286" s="357"/>
      <c r="AJ286" s="357"/>
      <c r="AK286" s="357"/>
      <c r="AL286" s="357"/>
      <c r="AM286" s="357"/>
      <c r="AN286" s="357"/>
      <c r="AO286" s="357"/>
      <c r="AP286" s="357"/>
      <c r="AQ286" s="357"/>
      <c r="AR286" s="357"/>
      <c r="AS286" s="357"/>
      <c r="AT286" s="357"/>
      <c r="AU286" s="357"/>
      <c r="AV286" s="357"/>
      <c r="AW286" s="357"/>
      <c r="AX286" s="357"/>
      <c r="AY286" s="357"/>
      <c r="AZ286" s="357"/>
      <c r="BA286" s="357"/>
      <c r="BB286" s="357"/>
      <c r="BC286" s="357"/>
      <c r="BD286" s="357"/>
    </row>
    <row r="287" spans="1:56">
      <c r="A287" s="422" t="s">
        <v>304</v>
      </c>
      <c r="B287" s="374">
        <v>2000</v>
      </c>
      <c r="C287" s="374"/>
      <c r="D287" s="375">
        <v>0.1</v>
      </c>
      <c r="E287" s="375">
        <v>0.2</v>
      </c>
      <c r="F287" s="374"/>
      <c r="G287" s="375">
        <v>0.1</v>
      </c>
      <c r="H287" s="375">
        <v>0.2</v>
      </c>
      <c r="I287" s="375">
        <v>0.1</v>
      </c>
      <c r="J287" s="375">
        <v>0.2</v>
      </c>
      <c r="K287" s="374"/>
      <c r="L287" s="374"/>
      <c r="M287" s="375">
        <v>0.05</v>
      </c>
      <c r="N287" s="423">
        <v>0.05</v>
      </c>
      <c r="O287" s="357"/>
      <c r="P287" s="357"/>
      <c r="Q287" s="357"/>
      <c r="R287" s="357"/>
      <c r="S287" s="357"/>
      <c r="X287" s="357"/>
      <c r="Y287" s="357"/>
      <c r="Z287" s="357"/>
      <c r="AA287" s="357"/>
      <c r="AB287" s="357"/>
      <c r="AC287" s="357"/>
      <c r="AD287" s="357"/>
      <c r="AE287" s="357"/>
      <c r="AF287" s="357"/>
      <c r="AG287" s="357"/>
      <c r="AH287" s="357"/>
      <c r="AI287" s="357"/>
      <c r="AJ287" s="357"/>
      <c r="AK287" s="357"/>
      <c r="AL287" s="357"/>
      <c r="AM287" s="357"/>
      <c r="AN287" s="357"/>
      <c r="AO287" s="357"/>
      <c r="AP287" s="357"/>
      <c r="AQ287" s="357"/>
      <c r="AR287" s="357"/>
      <c r="AS287" s="357"/>
      <c r="AT287" s="357"/>
      <c r="AU287" s="357"/>
      <c r="AV287" s="357"/>
      <c r="AW287" s="357"/>
      <c r="AX287" s="357"/>
      <c r="AY287" s="357"/>
      <c r="AZ287" s="357"/>
      <c r="BA287" s="357"/>
      <c r="BB287" s="357"/>
      <c r="BC287" s="357"/>
      <c r="BD287" s="357"/>
    </row>
    <row r="288" spans="1:56">
      <c r="A288" s="412" t="s">
        <v>317</v>
      </c>
      <c r="B288" s="377">
        <v>2000</v>
      </c>
      <c r="C288" s="377"/>
      <c r="D288" s="378">
        <v>0.1</v>
      </c>
      <c r="E288" s="378">
        <v>0.2</v>
      </c>
      <c r="F288" s="377"/>
      <c r="G288" s="378">
        <v>0.1</v>
      </c>
      <c r="H288" s="378">
        <v>0.2</v>
      </c>
      <c r="I288" s="378">
        <v>0.1</v>
      </c>
      <c r="J288" s="378">
        <v>0.2</v>
      </c>
      <c r="K288" s="377"/>
      <c r="L288" s="377"/>
      <c r="M288" s="378">
        <v>0.05</v>
      </c>
      <c r="N288" s="380">
        <v>0.05</v>
      </c>
      <c r="O288" s="357"/>
      <c r="P288" s="357"/>
      <c r="Q288" s="357"/>
      <c r="R288" s="357"/>
      <c r="S288" s="357"/>
      <c r="X288" s="357"/>
      <c r="Y288" s="357"/>
      <c r="Z288" s="357"/>
      <c r="AA288" s="357"/>
      <c r="AB288" s="357"/>
      <c r="AC288" s="357"/>
      <c r="AD288" s="357"/>
      <c r="AE288" s="357"/>
      <c r="AF288" s="357"/>
      <c r="AG288" s="357"/>
      <c r="AH288" s="357"/>
      <c r="AI288" s="357"/>
      <c r="AJ288" s="357"/>
      <c r="AK288" s="357"/>
      <c r="AL288" s="357"/>
      <c r="AM288" s="357"/>
      <c r="AN288" s="357"/>
      <c r="AO288" s="357"/>
      <c r="AP288" s="357"/>
      <c r="AQ288" s="357"/>
      <c r="AR288" s="357"/>
      <c r="AS288" s="357"/>
      <c r="AT288" s="357"/>
      <c r="AU288" s="357"/>
      <c r="AV288" s="357"/>
      <c r="AW288" s="357"/>
      <c r="AX288" s="357"/>
      <c r="AY288" s="357"/>
      <c r="AZ288" s="357"/>
      <c r="BA288" s="357"/>
      <c r="BB288" s="357"/>
      <c r="BC288" s="357"/>
      <c r="BD288" s="357"/>
    </row>
    <row r="289" spans="1:56">
      <c r="A289" s="412" t="s">
        <v>313</v>
      </c>
      <c r="B289" s="377">
        <v>2000</v>
      </c>
      <c r="C289" s="377"/>
      <c r="D289" s="378">
        <v>0.1</v>
      </c>
      <c r="E289" s="378">
        <v>0.2</v>
      </c>
      <c r="F289" s="377"/>
      <c r="G289" s="378">
        <v>0.1</v>
      </c>
      <c r="H289" s="378">
        <v>0.2</v>
      </c>
      <c r="I289" s="378">
        <v>0.1</v>
      </c>
      <c r="J289" s="378">
        <v>0.2</v>
      </c>
      <c r="K289" s="377"/>
      <c r="L289" s="377"/>
      <c r="M289" s="378">
        <v>0.05</v>
      </c>
      <c r="N289" s="380">
        <v>0.05</v>
      </c>
      <c r="O289" s="357"/>
      <c r="P289" s="357"/>
      <c r="Q289" s="357"/>
      <c r="R289" s="357"/>
      <c r="S289" s="357"/>
      <c r="X289" s="357"/>
      <c r="Y289" s="357"/>
      <c r="Z289" s="357"/>
      <c r="AA289" s="357"/>
      <c r="AB289" s="357"/>
      <c r="AC289" s="357"/>
      <c r="AD289" s="357"/>
      <c r="AE289" s="357"/>
      <c r="AF289" s="357"/>
      <c r="AG289" s="357"/>
      <c r="AH289" s="357"/>
      <c r="AI289" s="357"/>
      <c r="AJ289" s="357"/>
      <c r="AK289" s="357"/>
      <c r="AL289" s="357"/>
      <c r="AM289" s="357"/>
      <c r="AN289" s="357"/>
      <c r="AO289" s="357"/>
      <c r="AP289" s="357"/>
      <c r="AQ289" s="357"/>
      <c r="AR289" s="357"/>
      <c r="AS289" s="357"/>
      <c r="AT289" s="357"/>
      <c r="AU289" s="357"/>
      <c r="AV289" s="357"/>
      <c r="AW289" s="357"/>
      <c r="AX289" s="357"/>
      <c r="AY289" s="357"/>
      <c r="AZ289" s="357"/>
      <c r="BA289" s="357"/>
      <c r="BB289" s="357"/>
      <c r="BC289" s="357"/>
      <c r="BD289" s="357"/>
    </row>
    <row r="290" spans="1:56">
      <c r="A290" s="412" t="s">
        <v>312</v>
      </c>
      <c r="B290" s="377">
        <v>2000</v>
      </c>
      <c r="C290" s="377"/>
      <c r="D290" s="378">
        <v>0.1</v>
      </c>
      <c r="E290" s="378">
        <v>0.2</v>
      </c>
      <c r="F290" s="377"/>
      <c r="G290" s="378">
        <v>0.1</v>
      </c>
      <c r="H290" s="378">
        <v>0.2</v>
      </c>
      <c r="I290" s="378">
        <v>0.1</v>
      </c>
      <c r="J290" s="378">
        <v>0.2</v>
      </c>
      <c r="K290" s="377"/>
      <c r="L290" s="377"/>
      <c r="M290" s="378">
        <v>0.05</v>
      </c>
      <c r="N290" s="380">
        <v>0.05</v>
      </c>
      <c r="O290" s="357"/>
      <c r="P290" s="357"/>
      <c r="Q290" s="357"/>
      <c r="R290" s="357"/>
      <c r="S290" s="357"/>
      <c r="X290" s="357"/>
      <c r="Y290" s="357"/>
      <c r="Z290" s="357"/>
      <c r="AA290" s="357"/>
      <c r="AB290" s="357"/>
      <c r="AC290" s="357"/>
      <c r="AD290" s="357"/>
      <c r="AE290" s="357"/>
      <c r="AF290" s="357"/>
      <c r="AG290" s="357"/>
      <c r="AH290" s="357"/>
      <c r="AI290" s="357"/>
      <c r="AJ290" s="357"/>
      <c r="AK290" s="357"/>
      <c r="AL290" s="357"/>
      <c r="AM290" s="357"/>
      <c r="AN290" s="357"/>
      <c r="AO290" s="357"/>
      <c r="AP290" s="357"/>
      <c r="AQ290" s="357"/>
      <c r="AR290" s="357"/>
      <c r="AS290" s="357"/>
      <c r="AT290" s="357"/>
      <c r="AU290" s="357"/>
      <c r="AV290" s="357"/>
      <c r="AW290" s="357"/>
      <c r="AX290" s="357"/>
      <c r="AY290" s="357"/>
      <c r="AZ290" s="357"/>
      <c r="BA290" s="357"/>
      <c r="BB290" s="357"/>
      <c r="BC290" s="357"/>
      <c r="BD290" s="357"/>
    </row>
    <row r="291" spans="1:56">
      <c r="A291" s="424" t="s">
        <v>314</v>
      </c>
      <c r="B291" s="377">
        <v>2000</v>
      </c>
      <c r="C291" s="377"/>
      <c r="D291" s="378">
        <v>0.1</v>
      </c>
      <c r="E291" s="378">
        <v>0.2</v>
      </c>
      <c r="F291" s="377"/>
      <c r="G291" s="378">
        <v>0.1</v>
      </c>
      <c r="H291" s="378">
        <v>0.2</v>
      </c>
      <c r="I291" s="378">
        <v>0.1</v>
      </c>
      <c r="J291" s="378">
        <v>0.2</v>
      </c>
      <c r="K291" s="377"/>
      <c r="L291" s="377"/>
      <c r="M291" s="378">
        <v>0.05</v>
      </c>
      <c r="N291" s="380">
        <v>0.05</v>
      </c>
      <c r="O291" s="357"/>
      <c r="P291" s="357"/>
      <c r="Q291" s="357"/>
      <c r="R291" s="357"/>
      <c r="S291" s="357"/>
      <c r="X291" s="357"/>
      <c r="Y291" s="357"/>
      <c r="Z291" s="357"/>
      <c r="AA291" s="357"/>
      <c r="AB291" s="357"/>
      <c r="AC291" s="357"/>
      <c r="AD291" s="357"/>
      <c r="AE291" s="357"/>
      <c r="AF291" s="357"/>
      <c r="AG291" s="357"/>
      <c r="AH291" s="357"/>
      <c r="AI291" s="357"/>
      <c r="AJ291" s="357"/>
      <c r="AK291" s="357"/>
      <c r="AL291" s="357"/>
      <c r="AM291" s="357"/>
      <c r="AN291" s="357"/>
      <c r="AO291" s="357"/>
      <c r="AP291" s="357"/>
      <c r="AQ291" s="357"/>
      <c r="AR291" s="357"/>
      <c r="AS291" s="357"/>
      <c r="AT291" s="357"/>
      <c r="AU291" s="357"/>
      <c r="AV291" s="357"/>
      <c r="AW291" s="357"/>
      <c r="AX291" s="357"/>
      <c r="AY291" s="357"/>
      <c r="AZ291" s="357"/>
      <c r="BA291" s="357"/>
      <c r="BB291" s="357"/>
      <c r="BC291" s="357"/>
      <c r="BD291" s="357"/>
    </row>
    <row r="292" spans="1:56" ht="16.5" thickBot="1">
      <c r="A292" s="425" t="s">
        <v>316</v>
      </c>
      <c r="B292" s="383">
        <v>2000</v>
      </c>
      <c r="C292" s="383"/>
      <c r="D292" s="426">
        <v>0.1</v>
      </c>
      <c r="E292" s="426">
        <v>0.2</v>
      </c>
      <c r="F292" s="383"/>
      <c r="G292" s="426">
        <v>0.1</v>
      </c>
      <c r="H292" s="426">
        <v>0.2</v>
      </c>
      <c r="I292" s="426">
        <v>0.1</v>
      </c>
      <c r="J292" s="426">
        <v>0.2</v>
      </c>
      <c r="K292" s="383"/>
      <c r="L292" s="383"/>
      <c r="M292" s="426">
        <v>0.05</v>
      </c>
      <c r="N292" s="427">
        <v>0.05</v>
      </c>
      <c r="O292" s="357"/>
      <c r="P292" s="357"/>
      <c r="Q292" s="357"/>
      <c r="R292" s="357"/>
      <c r="S292" s="357"/>
      <c r="X292" s="357"/>
      <c r="Y292" s="357"/>
      <c r="Z292" s="357"/>
      <c r="AA292" s="357"/>
      <c r="AB292" s="357"/>
      <c r="AC292" s="357"/>
      <c r="AD292" s="357"/>
      <c r="AE292" s="357"/>
      <c r="AF292" s="357"/>
      <c r="AG292" s="357"/>
      <c r="AH292" s="357"/>
      <c r="AI292" s="357"/>
      <c r="AJ292" s="357"/>
      <c r="AK292" s="357"/>
      <c r="AL292" s="357"/>
      <c r="AM292" s="357"/>
      <c r="AN292" s="357"/>
      <c r="AO292" s="357"/>
      <c r="AP292" s="357"/>
      <c r="AQ292" s="357"/>
      <c r="AR292" s="357"/>
      <c r="AS292" s="357"/>
      <c r="AT292" s="357"/>
      <c r="AU292" s="357"/>
      <c r="AV292" s="357"/>
      <c r="AW292" s="357"/>
      <c r="AX292" s="357"/>
      <c r="AY292" s="357"/>
      <c r="AZ292" s="357"/>
      <c r="BA292" s="357"/>
      <c r="BB292" s="357"/>
      <c r="BC292" s="357"/>
      <c r="BD292" s="357"/>
    </row>
    <row r="293" spans="1:56">
      <c r="G293" s="357"/>
      <c r="H293" s="357"/>
      <c r="I293" s="357"/>
      <c r="J293" s="357"/>
      <c r="K293" s="357"/>
      <c r="L293" s="357"/>
      <c r="M293" s="357"/>
      <c r="N293" s="357"/>
      <c r="O293" s="357"/>
      <c r="P293" s="357"/>
      <c r="Q293" s="357"/>
      <c r="R293" s="357"/>
      <c r="S293" s="357"/>
      <c r="X293" s="357"/>
      <c r="Y293" s="357"/>
      <c r="Z293" s="357"/>
      <c r="AA293" s="357"/>
      <c r="AB293" s="357"/>
      <c r="AC293" s="357"/>
      <c r="AD293" s="357"/>
      <c r="AE293" s="357"/>
      <c r="AF293" s="357"/>
      <c r="AG293" s="357"/>
      <c r="AH293" s="357"/>
      <c r="AI293" s="357"/>
      <c r="AJ293" s="357"/>
      <c r="AK293" s="357"/>
      <c r="AL293" s="357"/>
      <c r="AM293" s="357"/>
      <c r="AN293" s="357"/>
      <c r="AO293" s="357"/>
      <c r="AP293" s="357"/>
      <c r="AQ293" s="357"/>
      <c r="AR293" s="357"/>
      <c r="AS293" s="357"/>
      <c r="AT293" s="357"/>
      <c r="AU293" s="357"/>
      <c r="AV293" s="357"/>
      <c r="AW293" s="357"/>
      <c r="AX293" s="357"/>
      <c r="AY293" s="357"/>
      <c r="AZ293" s="357"/>
      <c r="BA293" s="357"/>
      <c r="BB293" s="357"/>
      <c r="BC293" s="357"/>
      <c r="BD293" s="357"/>
    </row>
    <row r="294" spans="1:56" ht="16.5" thickBot="1">
      <c r="G294" s="357"/>
      <c r="H294" s="357"/>
      <c r="I294" s="357"/>
      <c r="J294" s="357"/>
      <c r="K294" s="357"/>
      <c r="L294" s="357"/>
      <c r="M294" s="357"/>
      <c r="N294" s="357"/>
      <c r="O294" s="357"/>
      <c r="P294" s="357"/>
      <c r="Q294" s="357"/>
      <c r="R294" s="357"/>
      <c r="S294" s="357"/>
      <c r="X294" s="357"/>
      <c r="Y294" s="357"/>
      <c r="Z294" s="357"/>
      <c r="AA294" s="357"/>
      <c r="AB294" s="357"/>
      <c r="AC294" s="357"/>
      <c r="AD294" s="357"/>
      <c r="AE294" s="357"/>
      <c r="AF294" s="357"/>
      <c r="AG294" s="357"/>
      <c r="AH294" s="357"/>
      <c r="AI294" s="357"/>
      <c r="AJ294" s="357"/>
      <c r="AK294" s="357"/>
      <c r="AL294" s="357"/>
      <c r="AM294" s="357"/>
      <c r="AN294" s="357"/>
      <c r="AO294" s="357"/>
      <c r="AP294" s="357"/>
      <c r="AQ294" s="357"/>
      <c r="AR294" s="357"/>
      <c r="AS294" s="357"/>
      <c r="AT294" s="357"/>
      <c r="AU294" s="357"/>
      <c r="AV294" s="357"/>
      <c r="AW294" s="357"/>
      <c r="AX294" s="357"/>
      <c r="AY294" s="357"/>
      <c r="AZ294" s="357"/>
      <c r="BA294" s="357"/>
      <c r="BB294" s="357"/>
      <c r="BC294" s="357"/>
      <c r="BD294" s="357"/>
    </row>
    <row r="295" spans="1:56" ht="16.5" thickBot="1">
      <c r="A295" s="1006" t="s">
        <v>318</v>
      </c>
      <c r="B295" s="1009" t="s">
        <v>319</v>
      </c>
      <c r="C295" s="1012" t="s">
        <v>340</v>
      </c>
      <c r="D295" s="1013"/>
      <c r="E295" s="1013"/>
      <c r="F295" s="1013"/>
      <c r="G295" s="1013"/>
      <c r="H295" s="1013"/>
      <c r="I295" s="1013"/>
      <c r="J295" s="1013"/>
      <c r="K295" s="1013"/>
      <c r="L295" s="1013"/>
      <c r="M295" s="1013"/>
      <c r="N295" s="1013"/>
      <c r="O295" s="999" t="s">
        <v>457</v>
      </c>
      <c r="P295" s="1000"/>
      <c r="Q295" s="1000"/>
      <c r="R295" s="1001"/>
      <c r="S295" s="1043" t="s">
        <v>337</v>
      </c>
      <c r="T295" s="993" t="s">
        <v>435</v>
      </c>
      <c r="U295" s="993" t="s">
        <v>435</v>
      </c>
      <c r="V295" s="993" t="s">
        <v>435</v>
      </c>
      <c r="W295" s="993" t="s">
        <v>435</v>
      </c>
      <c r="X295" s="357"/>
      <c r="Y295" s="357"/>
      <c r="Z295" s="357"/>
      <c r="AA295" s="357"/>
      <c r="AB295" s="357"/>
      <c r="AC295" s="357"/>
      <c r="AD295" s="357"/>
      <c r="AE295" s="357"/>
      <c r="AF295" s="357"/>
      <c r="AG295" s="357"/>
      <c r="AH295" s="357"/>
      <c r="AI295" s="357"/>
      <c r="AJ295" s="357"/>
      <c r="AK295" s="357"/>
      <c r="AL295" s="357"/>
      <c r="AM295" s="357"/>
      <c r="AN295" s="357"/>
      <c r="AO295" s="357"/>
      <c r="AP295" s="357"/>
      <c r="AQ295" s="357"/>
      <c r="AR295" s="357"/>
      <c r="AS295" s="357"/>
      <c r="AT295" s="357"/>
      <c r="AU295" s="357"/>
      <c r="AV295" s="357"/>
      <c r="AW295" s="357"/>
      <c r="AX295" s="357"/>
      <c r="AY295" s="357"/>
      <c r="AZ295" s="357"/>
      <c r="BA295" s="357"/>
      <c r="BB295" s="357"/>
      <c r="BC295" s="357"/>
      <c r="BD295" s="357"/>
    </row>
    <row r="296" spans="1:56" ht="16.5" thickBot="1">
      <c r="A296" s="1007"/>
      <c r="B296" s="1010"/>
      <c r="C296" s="1014" t="s">
        <v>264</v>
      </c>
      <c r="D296" s="1015"/>
      <c r="E296" s="1016"/>
      <c r="F296" s="1014" t="s">
        <v>263</v>
      </c>
      <c r="G296" s="1015"/>
      <c r="H296" s="1016"/>
      <c r="I296" s="1014" t="s">
        <v>265</v>
      </c>
      <c r="J296" s="1015"/>
      <c r="K296" s="1016"/>
      <c r="L296" s="1014" t="s">
        <v>269</v>
      </c>
      <c r="M296" s="1015"/>
      <c r="N296" s="1015"/>
      <c r="O296" s="997" t="s">
        <v>264</v>
      </c>
      <c r="P296" s="997" t="s">
        <v>263</v>
      </c>
      <c r="Q296" s="997" t="s">
        <v>265</v>
      </c>
      <c r="R296" s="1079" t="s">
        <v>269</v>
      </c>
      <c r="S296" s="1073"/>
      <c r="T296" s="994"/>
      <c r="U296" s="994"/>
      <c r="V296" s="994"/>
      <c r="W296" s="994"/>
      <c r="X296" s="357"/>
      <c r="Y296" s="357"/>
      <c r="Z296" s="357"/>
      <c r="AA296" s="357"/>
      <c r="AB296" s="357"/>
      <c r="AC296" s="357"/>
      <c r="AD296" s="357"/>
      <c r="AE296" s="357"/>
      <c r="AF296" s="357"/>
      <c r="AG296" s="357"/>
      <c r="AH296" s="357"/>
      <c r="AI296" s="357"/>
      <c r="AJ296" s="357"/>
      <c r="AK296" s="357"/>
      <c r="AL296" s="357"/>
      <c r="AM296" s="357"/>
      <c r="AN296" s="357"/>
      <c r="AO296" s="357"/>
      <c r="AP296" s="357"/>
      <c r="AQ296" s="357"/>
      <c r="AR296" s="357"/>
      <c r="AS296" s="357"/>
      <c r="AT296" s="357"/>
      <c r="AU296" s="357"/>
      <c r="AV296" s="357"/>
      <c r="AW296" s="357"/>
      <c r="AX296" s="357"/>
      <c r="AY296" s="357"/>
      <c r="AZ296" s="357"/>
      <c r="BA296" s="357"/>
      <c r="BB296" s="357"/>
      <c r="BC296" s="357"/>
      <c r="BD296" s="357"/>
    </row>
    <row r="297" spans="1:56" ht="16.5" thickBot="1">
      <c r="A297" s="1007"/>
      <c r="B297" s="1010"/>
      <c r="C297" s="413" t="s">
        <v>266</v>
      </c>
      <c r="D297" s="414" t="s">
        <v>267</v>
      </c>
      <c r="E297" s="415" t="s">
        <v>268</v>
      </c>
      <c r="F297" s="413" t="s">
        <v>266</v>
      </c>
      <c r="G297" s="414" t="s">
        <v>267</v>
      </c>
      <c r="H297" s="415" t="s">
        <v>268</v>
      </c>
      <c r="I297" s="413" t="s">
        <v>266</v>
      </c>
      <c r="J297" s="414" t="s">
        <v>267</v>
      </c>
      <c r="K297" s="415" t="s">
        <v>268</v>
      </c>
      <c r="L297" s="413" t="s">
        <v>266</v>
      </c>
      <c r="M297" s="414" t="s">
        <v>267</v>
      </c>
      <c r="N297" s="416" t="s">
        <v>268</v>
      </c>
      <c r="O297" s="998"/>
      <c r="P297" s="998"/>
      <c r="Q297" s="998"/>
      <c r="R297" s="1080"/>
      <c r="S297" s="1073"/>
      <c r="T297" s="995"/>
      <c r="U297" s="995"/>
      <c r="V297" s="995"/>
      <c r="W297" s="995"/>
      <c r="X297" s="357"/>
      <c r="Y297" s="357"/>
      <c r="Z297" s="357"/>
      <c r="AA297" s="357"/>
      <c r="AB297" s="357"/>
      <c r="AC297" s="357"/>
      <c r="AD297" s="357"/>
      <c r="AE297" s="357"/>
      <c r="AF297" s="357"/>
      <c r="AG297" s="357"/>
      <c r="AH297" s="357"/>
      <c r="AI297" s="357"/>
      <c r="AJ297" s="357"/>
      <c r="AK297" s="357"/>
      <c r="AL297" s="357"/>
      <c r="AM297" s="357"/>
      <c r="AN297" s="357"/>
      <c r="AO297" s="357"/>
      <c r="AP297" s="357"/>
      <c r="AQ297" s="357"/>
      <c r="AR297" s="357"/>
      <c r="AS297" s="357"/>
      <c r="AT297" s="357"/>
      <c r="AU297" s="357"/>
      <c r="AV297" s="357"/>
      <c r="AW297" s="357"/>
      <c r="AX297" s="357"/>
      <c r="AY297" s="357"/>
      <c r="AZ297" s="357"/>
      <c r="BA297" s="357"/>
      <c r="BB297" s="357"/>
      <c r="BC297" s="357"/>
      <c r="BD297" s="357"/>
    </row>
    <row r="298" spans="1:56">
      <c r="A298" s="1076" t="s">
        <v>304</v>
      </c>
      <c r="B298" s="428" t="s">
        <v>305</v>
      </c>
      <c r="C298" s="374">
        <v>70</v>
      </c>
      <c r="D298" s="374">
        <v>70</v>
      </c>
      <c r="E298" s="374">
        <v>70</v>
      </c>
      <c r="F298" s="374">
        <v>70</v>
      </c>
      <c r="G298" s="374">
        <v>70</v>
      </c>
      <c r="H298" s="374">
        <v>70</v>
      </c>
      <c r="I298" s="374">
        <v>70</v>
      </c>
      <c r="J298" s="374">
        <v>70</v>
      </c>
      <c r="K298" s="374">
        <v>70</v>
      </c>
      <c r="L298" s="374">
        <v>70</v>
      </c>
      <c r="M298" s="374">
        <v>70</v>
      </c>
      <c r="N298" s="429">
        <v>70</v>
      </c>
      <c r="O298" s="734">
        <f t="shared" ref="O298:R298" si="23">IFERROR(ROUND((AVERAGE(C298:E298))*(1+$S298),0),0)</f>
        <v>74</v>
      </c>
      <c r="P298" s="734">
        <f t="shared" si="23"/>
        <v>74</v>
      </c>
      <c r="Q298" s="734">
        <f t="shared" si="23"/>
        <v>74</v>
      </c>
      <c r="R298" s="735">
        <f t="shared" si="23"/>
        <v>74</v>
      </c>
      <c r="S298" s="402">
        <v>0.05</v>
      </c>
      <c r="T298" s="588">
        <v>0.1</v>
      </c>
      <c r="U298" s="375">
        <v>0.08</v>
      </c>
      <c r="V298" s="375">
        <v>0.1</v>
      </c>
      <c r="W298" s="423">
        <v>0.1</v>
      </c>
      <c r="X298" s="357"/>
      <c r="Y298" s="357"/>
      <c r="Z298" s="357"/>
      <c r="AA298" s="357"/>
      <c r="AB298" s="357"/>
      <c r="AC298" s="357"/>
      <c r="AD298" s="357"/>
      <c r="AE298" s="357"/>
      <c r="AF298" s="357"/>
      <c r="AG298" s="357"/>
      <c r="AH298" s="357"/>
      <c r="AI298" s="357"/>
      <c r="AJ298" s="357"/>
      <c r="AK298" s="357"/>
      <c r="AL298" s="357"/>
      <c r="AM298" s="357"/>
      <c r="AN298" s="357"/>
      <c r="AO298" s="357"/>
      <c r="AP298" s="357"/>
      <c r="AQ298" s="357"/>
      <c r="AR298" s="357"/>
      <c r="AS298" s="357"/>
      <c r="AT298" s="357"/>
      <c r="AU298" s="357"/>
      <c r="AV298" s="357"/>
      <c r="AW298" s="357"/>
      <c r="AX298" s="357"/>
      <c r="AY298" s="357"/>
      <c r="AZ298" s="357"/>
      <c r="BA298" s="357"/>
      <c r="BB298" s="357"/>
      <c r="BC298" s="357"/>
      <c r="BD298" s="357"/>
    </row>
    <row r="299" spans="1:56">
      <c r="A299" s="1077"/>
      <c r="B299" s="430" t="s">
        <v>306</v>
      </c>
      <c r="C299" s="377">
        <v>75</v>
      </c>
      <c r="D299" s="377">
        <v>75</v>
      </c>
      <c r="E299" s="377">
        <v>75</v>
      </c>
      <c r="F299" s="377">
        <v>75</v>
      </c>
      <c r="G299" s="377">
        <v>75</v>
      </c>
      <c r="H299" s="377">
        <v>75</v>
      </c>
      <c r="I299" s="377">
        <v>75</v>
      </c>
      <c r="J299" s="377">
        <v>75</v>
      </c>
      <c r="K299" s="377">
        <v>75</v>
      </c>
      <c r="L299" s="377">
        <v>75</v>
      </c>
      <c r="M299" s="377">
        <v>75</v>
      </c>
      <c r="N299" s="401">
        <v>75</v>
      </c>
      <c r="O299" s="455">
        <f t="shared" ref="O299:O309" si="24">IFERROR(ROUND((AVERAGE(C299:E299))*(1+$S299),0),0)</f>
        <v>79</v>
      </c>
      <c r="P299" s="455">
        <f t="shared" ref="P299:P309" si="25">IFERROR(ROUND((AVERAGE(D299:F299))*(1+$S299),0),0)</f>
        <v>79</v>
      </c>
      <c r="Q299" s="455">
        <f t="shared" ref="Q299:Q309" si="26">IFERROR(ROUND((AVERAGE(E299:G299))*(1+$S299),0),0)</f>
        <v>79</v>
      </c>
      <c r="R299" s="736">
        <f t="shared" ref="R299:R309" si="27">IFERROR(ROUND((AVERAGE(F299:H299))*(1+$S299),0),0)</f>
        <v>79</v>
      </c>
      <c r="S299" s="402">
        <v>0.05</v>
      </c>
      <c r="T299" s="589">
        <v>0.25</v>
      </c>
      <c r="U299" s="378">
        <v>0.1</v>
      </c>
      <c r="V299" s="378">
        <v>0.15</v>
      </c>
      <c r="W299" s="380">
        <v>0.15</v>
      </c>
      <c r="X299" s="357"/>
      <c r="Y299" s="357"/>
      <c r="Z299" s="357"/>
      <c r="AA299" s="357"/>
      <c r="AB299" s="357"/>
      <c r="AC299" s="357"/>
      <c r="AD299" s="357"/>
      <c r="AE299" s="357"/>
      <c r="AF299" s="357"/>
      <c r="AG299" s="357"/>
      <c r="AH299" s="357"/>
      <c r="AI299" s="357"/>
      <c r="AJ299" s="357"/>
      <c r="AK299" s="357"/>
      <c r="AL299" s="357"/>
      <c r="AM299" s="357"/>
      <c r="AN299" s="357"/>
      <c r="AO299" s="357"/>
      <c r="AP299" s="357"/>
      <c r="AQ299" s="357"/>
      <c r="AR299" s="357"/>
      <c r="AS299" s="357"/>
      <c r="AT299" s="357"/>
      <c r="AU299" s="357"/>
      <c r="AV299" s="357"/>
      <c r="AW299" s="357"/>
      <c r="AX299" s="357"/>
      <c r="AY299" s="357"/>
      <c r="AZ299" s="357"/>
      <c r="BA299" s="357"/>
      <c r="BB299" s="357"/>
      <c r="BC299" s="357"/>
      <c r="BD299" s="357"/>
    </row>
    <row r="300" spans="1:56">
      <c r="A300" s="1077"/>
      <c r="B300" s="430" t="s">
        <v>307</v>
      </c>
      <c r="C300" s="377">
        <v>60</v>
      </c>
      <c r="D300" s="377">
        <v>60</v>
      </c>
      <c r="E300" s="377">
        <v>60</v>
      </c>
      <c r="F300" s="377">
        <v>60</v>
      </c>
      <c r="G300" s="377">
        <v>60</v>
      </c>
      <c r="H300" s="377">
        <v>60</v>
      </c>
      <c r="I300" s="377">
        <v>60</v>
      </c>
      <c r="J300" s="377">
        <v>60</v>
      </c>
      <c r="K300" s="377">
        <v>60</v>
      </c>
      <c r="L300" s="377">
        <v>60</v>
      </c>
      <c r="M300" s="377">
        <v>60</v>
      </c>
      <c r="N300" s="401">
        <v>60</v>
      </c>
      <c r="O300" s="455">
        <f t="shared" si="24"/>
        <v>63</v>
      </c>
      <c r="P300" s="455">
        <f t="shared" si="25"/>
        <v>63</v>
      </c>
      <c r="Q300" s="455">
        <f t="shared" si="26"/>
        <v>63</v>
      </c>
      <c r="R300" s="736">
        <f t="shared" si="27"/>
        <v>63</v>
      </c>
      <c r="S300" s="402">
        <v>0.05</v>
      </c>
      <c r="T300" s="589">
        <v>0.2</v>
      </c>
      <c r="U300" s="378">
        <v>0.2</v>
      </c>
      <c r="V300" s="378">
        <v>0.2</v>
      </c>
      <c r="W300" s="380">
        <v>0.2</v>
      </c>
      <c r="X300" s="357"/>
      <c r="Y300" s="357"/>
      <c r="Z300" s="357"/>
      <c r="AA300" s="357"/>
      <c r="AB300" s="357"/>
      <c r="AC300" s="357"/>
      <c r="AD300" s="357"/>
      <c r="AE300" s="357"/>
      <c r="AF300" s="357"/>
      <c r="AG300" s="357"/>
      <c r="AH300" s="357"/>
      <c r="AI300" s="357"/>
      <c r="AJ300" s="357"/>
      <c r="AK300" s="357"/>
      <c r="AL300" s="357"/>
      <c r="AM300" s="357"/>
      <c r="AN300" s="357"/>
      <c r="AO300" s="357"/>
      <c r="AP300" s="357"/>
      <c r="AQ300" s="357"/>
      <c r="AR300" s="357"/>
      <c r="AS300" s="357"/>
      <c r="AT300" s="357"/>
      <c r="AU300" s="357"/>
      <c r="AV300" s="357"/>
      <c r="AW300" s="357"/>
      <c r="AX300" s="357"/>
      <c r="AY300" s="357"/>
      <c r="AZ300" s="357"/>
      <c r="BA300" s="357"/>
      <c r="BB300" s="357"/>
      <c r="BC300" s="357"/>
      <c r="BD300" s="357"/>
    </row>
    <row r="301" spans="1:56" ht="16.5" thickBot="1">
      <c r="A301" s="1078"/>
      <c r="B301" s="431" t="s">
        <v>308</v>
      </c>
      <c r="C301" s="377">
        <v>30</v>
      </c>
      <c r="D301" s="377">
        <v>30</v>
      </c>
      <c r="E301" s="377">
        <v>30</v>
      </c>
      <c r="F301" s="377">
        <v>30</v>
      </c>
      <c r="G301" s="377">
        <v>30</v>
      </c>
      <c r="H301" s="377">
        <v>30</v>
      </c>
      <c r="I301" s="377">
        <v>30</v>
      </c>
      <c r="J301" s="377">
        <v>30</v>
      </c>
      <c r="K301" s="377">
        <v>30</v>
      </c>
      <c r="L301" s="377">
        <v>30</v>
      </c>
      <c r="M301" s="377">
        <v>30</v>
      </c>
      <c r="N301" s="401">
        <v>30</v>
      </c>
      <c r="O301" s="455">
        <f t="shared" si="24"/>
        <v>32</v>
      </c>
      <c r="P301" s="455">
        <f t="shared" si="25"/>
        <v>32</v>
      </c>
      <c r="Q301" s="455">
        <f t="shared" si="26"/>
        <v>32</v>
      </c>
      <c r="R301" s="736">
        <f t="shared" si="27"/>
        <v>32</v>
      </c>
      <c r="S301" s="402">
        <v>0.05</v>
      </c>
      <c r="T301" s="589">
        <v>0.25</v>
      </c>
      <c r="U301" s="378">
        <v>0.25</v>
      </c>
      <c r="V301" s="378">
        <v>0.25</v>
      </c>
      <c r="W301" s="380">
        <v>0.25</v>
      </c>
      <c r="X301" s="357"/>
      <c r="Y301" s="357"/>
      <c r="Z301" s="357"/>
      <c r="AA301" s="357"/>
      <c r="AB301" s="357"/>
      <c r="AC301" s="357"/>
      <c r="AD301" s="357"/>
      <c r="AE301" s="357"/>
      <c r="AF301" s="357"/>
      <c r="AG301" s="357"/>
      <c r="AH301" s="357"/>
      <c r="AI301" s="357"/>
      <c r="AJ301" s="357"/>
      <c r="AK301" s="357"/>
      <c r="AL301" s="357"/>
      <c r="AM301" s="357"/>
      <c r="AN301" s="357"/>
      <c r="AO301" s="357"/>
      <c r="AP301" s="357"/>
      <c r="AQ301" s="357"/>
      <c r="AR301" s="357"/>
      <c r="AS301" s="357"/>
      <c r="AT301" s="357"/>
      <c r="AU301" s="357"/>
      <c r="AV301" s="357"/>
      <c r="AW301" s="357"/>
      <c r="AX301" s="357"/>
      <c r="AY301" s="357"/>
      <c r="AZ301" s="357"/>
      <c r="BA301" s="357"/>
      <c r="BB301" s="357"/>
      <c r="BC301" s="357"/>
      <c r="BD301" s="357"/>
    </row>
    <row r="302" spans="1:56">
      <c r="A302" s="1076" t="s">
        <v>317</v>
      </c>
      <c r="B302" s="430" t="s">
        <v>305</v>
      </c>
      <c r="C302" s="377">
        <v>91</v>
      </c>
      <c r="D302" s="377">
        <v>91</v>
      </c>
      <c r="E302" s="377">
        <v>91</v>
      </c>
      <c r="F302" s="377">
        <v>91</v>
      </c>
      <c r="G302" s="377">
        <v>91</v>
      </c>
      <c r="H302" s="377">
        <v>91</v>
      </c>
      <c r="I302" s="377">
        <v>91</v>
      </c>
      <c r="J302" s="377">
        <v>91</v>
      </c>
      <c r="K302" s="377">
        <v>91</v>
      </c>
      <c r="L302" s="377">
        <v>91</v>
      </c>
      <c r="M302" s="377">
        <v>91</v>
      </c>
      <c r="N302" s="401">
        <v>91</v>
      </c>
      <c r="O302" s="455">
        <f t="shared" si="24"/>
        <v>96</v>
      </c>
      <c r="P302" s="455">
        <f t="shared" si="25"/>
        <v>96</v>
      </c>
      <c r="Q302" s="455">
        <f t="shared" si="26"/>
        <v>96</v>
      </c>
      <c r="R302" s="736">
        <f t="shared" si="27"/>
        <v>96</v>
      </c>
      <c r="S302" s="402">
        <v>0.05</v>
      </c>
      <c r="T302" s="589">
        <v>0.15</v>
      </c>
      <c r="U302" s="378">
        <v>0.15</v>
      </c>
      <c r="V302" s="378">
        <v>0.15</v>
      </c>
      <c r="W302" s="380">
        <v>0.15</v>
      </c>
      <c r="X302" s="357"/>
      <c r="Y302" s="357"/>
      <c r="Z302" s="357"/>
      <c r="AA302" s="357"/>
      <c r="AB302" s="357"/>
      <c r="AC302" s="357"/>
      <c r="AD302" s="357"/>
      <c r="AE302" s="357"/>
      <c r="AF302" s="357"/>
      <c r="AG302" s="357"/>
      <c r="AH302" s="357"/>
      <c r="AI302" s="357"/>
      <c r="AJ302" s="357"/>
      <c r="AK302" s="357"/>
      <c r="AL302" s="357"/>
      <c r="AM302" s="357"/>
      <c r="AN302" s="357"/>
      <c r="AO302" s="357"/>
      <c r="AP302" s="357"/>
      <c r="AQ302" s="357"/>
      <c r="AR302" s="357"/>
      <c r="AS302" s="357"/>
      <c r="AT302" s="357"/>
      <c r="AU302" s="357"/>
      <c r="AV302" s="357"/>
      <c r="AW302" s="357"/>
      <c r="AX302" s="357"/>
      <c r="AY302" s="357"/>
      <c r="AZ302" s="357"/>
      <c r="BA302" s="357"/>
      <c r="BB302" s="357"/>
      <c r="BC302" s="357"/>
      <c r="BD302" s="357"/>
    </row>
    <row r="303" spans="1:56">
      <c r="A303" s="1077"/>
      <c r="B303" s="430" t="s">
        <v>309</v>
      </c>
      <c r="C303" s="377">
        <v>40</v>
      </c>
      <c r="D303" s="377">
        <v>40</v>
      </c>
      <c r="E303" s="377">
        <v>40</v>
      </c>
      <c r="F303" s="377">
        <v>40</v>
      </c>
      <c r="G303" s="377">
        <v>40</v>
      </c>
      <c r="H303" s="377">
        <v>40</v>
      </c>
      <c r="I303" s="377">
        <v>40</v>
      </c>
      <c r="J303" s="377">
        <v>40</v>
      </c>
      <c r="K303" s="377">
        <v>40</v>
      </c>
      <c r="L303" s="377">
        <v>40</v>
      </c>
      <c r="M303" s="377">
        <v>40</v>
      </c>
      <c r="N303" s="401">
        <v>40</v>
      </c>
      <c r="O303" s="455">
        <f t="shared" si="24"/>
        <v>42</v>
      </c>
      <c r="P303" s="455">
        <f t="shared" si="25"/>
        <v>42</v>
      </c>
      <c r="Q303" s="455">
        <f t="shared" si="26"/>
        <v>42</v>
      </c>
      <c r="R303" s="736">
        <f t="shared" si="27"/>
        <v>42</v>
      </c>
      <c r="S303" s="402">
        <v>0.05</v>
      </c>
      <c r="T303" s="589">
        <v>0.25</v>
      </c>
      <c r="U303" s="378">
        <v>0.1</v>
      </c>
      <c r="V303" s="378">
        <v>0.1</v>
      </c>
      <c r="W303" s="380">
        <v>0.1</v>
      </c>
      <c r="X303" s="357"/>
      <c r="Y303" s="357"/>
      <c r="Z303" s="357"/>
      <c r="AA303" s="357"/>
      <c r="AB303" s="357"/>
      <c r="AC303" s="357"/>
      <c r="AD303" s="357"/>
      <c r="AE303" s="357"/>
      <c r="AF303" s="357"/>
      <c r="AG303" s="357"/>
      <c r="AH303" s="357"/>
      <c r="AI303" s="357"/>
      <c r="AJ303" s="357"/>
      <c r="AK303" s="357"/>
      <c r="AL303" s="357"/>
      <c r="AM303" s="357"/>
      <c r="AN303" s="357"/>
      <c r="AO303" s="357"/>
      <c r="AP303" s="357"/>
      <c r="AQ303" s="357"/>
      <c r="AR303" s="357"/>
      <c r="AS303" s="357"/>
      <c r="AT303" s="357"/>
      <c r="AU303" s="357"/>
      <c r="AV303" s="357"/>
      <c r="AW303" s="357"/>
      <c r="AX303" s="357"/>
      <c r="AY303" s="357"/>
      <c r="AZ303" s="357"/>
      <c r="BA303" s="357"/>
      <c r="BB303" s="357"/>
      <c r="BC303" s="357"/>
      <c r="BD303" s="357"/>
    </row>
    <row r="304" spans="1:56">
      <c r="A304" s="1077"/>
      <c r="B304" s="430" t="s">
        <v>310</v>
      </c>
      <c r="C304" s="377">
        <v>86</v>
      </c>
      <c r="D304" s="377">
        <v>86</v>
      </c>
      <c r="E304" s="377">
        <v>86</v>
      </c>
      <c r="F304" s="377">
        <v>86</v>
      </c>
      <c r="G304" s="377">
        <v>86</v>
      </c>
      <c r="H304" s="377">
        <v>86</v>
      </c>
      <c r="I304" s="377">
        <v>86</v>
      </c>
      <c r="J304" s="377">
        <v>86</v>
      </c>
      <c r="K304" s="377">
        <v>86</v>
      </c>
      <c r="L304" s="377">
        <v>86</v>
      </c>
      <c r="M304" s="377">
        <v>86</v>
      </c>
      <c r="N304" s="401">
        <v>86</v>
      </c>
      <c r="O304" s="455">
        <f t="shared" si="24"/>
        <v>90</v>
      </c>
      <c r="P304" s="455">
        <f t="shared" si="25"/>
        <v>90</v>
      </c>
      <c r="Q304" s="455">
        <f t="shared" si="26"/>
        <v>90</v>
      </c>
      <c r="R304" s="736">
        <f t="shared" si="27"/>
        <v>90</v>
      </c>
      <c r="S304" s="402">
        <v>0.05</v>
      </c>
      <c r="T304" s="589">
        <v>0.15</v>
      </c>
      <c r="U304" s="378">
        <v>0.15</v>
      </c>
      <c r="V304" s="378">
        <v>0.15</v>
      </c>
      <c r="W304" s="380">
        <v>0.15</v>
      </c>
      <c r="X304" s="357"/>
      <c r="Y304" s="357"/>
      <c r="Z304" s="357"/>
      <c r="AA304" s="357"/>
      <c r="AB304" s="357"/>
      <c r="AC304" s="357"/>
      <c r="AD304" s="357"/>
      <c r="AE304" s="357"/>
      <c r="AF304" s="357"/>
      <c r="AG304" s="357"/>
      <c r="AH304" s="357"/>
      <c r="AI304" s="357"/>
      <c r="AJ304" s="357"/>
      <c r="AK304" s="357"/>
      <c r="AL304" s="357"/>
      <c r="AM304" s="357"/>
      <c r="AN304" s="357"/>
      <c r="AO304" s="357"/>
      <c r="AP304" s="357"/>
      <c r="AQ304" s="357"/>
      <c r="AR304" s="357"/>
      <c r="AS304" s="357"/>
      <c r="AT304" s="357"/>
      <c r="AU304" s="357"/>
      <c r="AV304" s="357"/>
      <c r="AW304" s="357"/>
      <c r="AX304" s="357"/>
      <c r="AY304" s="357"/>
      <c r="AZ304" s="357"/>
      <c r="BA304" s="357"/>
      <c r="BB304" s="357"/>
      <c r="BC304" s="357"/>
      <c r="BD304" s="357"/>
    </row>
    <row r="305" spans="1:56" ht="15" customHeight="1" thickBot="1">
      <c r="A305" s="1078"/>
      <c r="B305" s="430" t="s">
        <v>311</v>
      </c>
      <c r="C305" s="377">
        <v>400</v>
      </c>
      <c r="D305" s="377">
        <v>400</v>
      </c>
      <c r="E305" s="377">
        <v>400</v>
      </c>
      <c r="F305" s="377">
        <v>400</v>
      </c>
      <c r="G305" s="377">
        <v>400</v>
      </c>
      <c r="H305" s="377">
        <v>400</v>
      </c>
      <c r="I305" s="377">
        <v>400</v>
      </c>
      <c r="J305" s="377">
        <v>400</v>
      </c>
      <c r="K305" s="377">
        <v>400</v>
      </c>
      <c r="L305" s="377">
        <v>400</v>
      </c>
      <c r="M305" s="377">
        <v>400</v>
      </c>
      <c r="N305" s="401">
        <v>400</v>
      </c>
      <c r="O305" s="455">
        <f t="shared" si="24"/>
        <v>420</v>
      </c>
      <c r="P305" s="455">
        <f t="shared" si="25"/>
        <v>420</v>
      </c>
      <c r="Q305" s="455">
        <f t="shared" si="26"/>
        <v>420</v>
      </c>
      <c r="R305" s="736">
        <f t="shared" si="27"/>
        <v>420</v>
      </c>
      <c r="S305" s="402">
        <v>0.05</v>
      </c>
      <c r="T305" s="589">
        <v>0.2</v>
      </c>
      <c r="U305" s="378">
        <v>0.1</v>
      </c>
      <c r="V305" s="378">
        <v>0.2</v>
      </c>
      <c r="W305" s="380">
        <v>0.2</v>
      </c>
      <c r="X305" s="357"/>
      <c r="Y305" s="357"/>
      <c r="Z305" s="357"/>
      <c r="AA305" s="357"/>
      <c r="AB305" s="357"/>
      <c r="AC305" s="357"/>
      <c r="AD305" s="357"/>
      <c r="AE305" s="357"/>
      <c r="AF305" s="357"/>
      <c r="AG305" s="357"/>
      <c r="AH305" s="357"/>
      <c r="AI305" s="357"/>
      <c r="AJ305" s="357"/>
      <c r="AK305" s="357"/>
      <c r="AL305" s="357"/>
      <c r="AM305" s="357"/>
      <c r="AN305" s="357"/>
      <c r="AO305" s="357"/>
      <c r="AP305" s="357"/>
      <c r="AQ305" s="357"/>
      <c r="AR305" s="357"/>
      <c r="AS305" s="357"/>
      <c r="AT305" s="357"/>
      <c r="AU305" s="357"/>
      <c r="AV305" s="357"/>
      <c r="AW305" s="357"/>
      <c r="AX305" s="357"/>
      <c r="AY305" s="357"/>
      <c r="AZ305" s="357"/>
      <c r="BA305" s="357"/>
      <c r="BB305" s="357"/>
      <c r="BC305" s="357"/>
      <c r="BD305" s="357"/>
    </row>
    <row r="306" spans="1:56" ht="16.5" thickBot="1">
      <c r="A306" s="432" t="s">
        <v>312</v>
      </c>
      <c r="B306" s="430" t="s">
        <v>305</v>
      </c>
      <c r="C306" s="377">
        <v>65</v>
      </c>
      <c r="D306" s="377">
        <v>65</v>
      </c>
      <c r="E306" s="377">
        <v>65</v>
      </c>
      <c r="F306" s="377">
        <v>65</v>
      </c>
      <c r="G306" s="377">
        <v>65</v>
      </c>
      <c r="H306" s="377">
        <v>65</v>
      </c>
      <c r="I306" s="377">
        <v>65</v>
      </c>
      <c r="J306" s="377">
        <v>65</v>
      </c>
      <c r="K306" s="377">
        <v>65</v>
      </c>
      <c r="L306" s="377">
        <v>65</v>
      </c>
      <c r="M306" s="377">
        <v>65</v>
      </c>
      <c r="N306" s="401">
        <v>65</v>
      </c>
      <c r="O306" s="455">
        <f t="shared" si="24"/>
        <v>68</v>
      </c>
      <c r="P306" s="455">
        <f t="shared" si="25"/>
        <v>68</v>
      </c>
      <c r="Q306" s="455">
        <f t="shared" si="26"/>
        <v>68</v>
      </c>
      <c r="R306" s="736">
        <f t="shared" si="27"/>
        <v>68</v>
      </c>
      <c r="S306" s="402">
        <v>0.05</v>
      </c>
      <c r="T306" s="589">
        <v>0.25</v>
      </c>
      <c r="U306" s="378">
        <v>0.14000000000000001</v>
      </c>
      <c r="V306" s="378">
        <v>0.25</v>
      </c>
      <c r="W306" s="380">
        <v>0.25</v>
      </c>
      <c r="X306" s="357"/>
      <c r="Y306" s="357"/>
      <c r="Z306" s="357"/>
      <c r="AA306" s="357"/>
      <c r="AB306" s="357"/>
      <c r="AC306" s="357"/>
      <c r="AD306" s="357"/>
      <c r="AE306" s="357"/>
      <c r="AF306" s="357"/>
      <c r="AG306" s="357"/>
      <c r="AH306" s="357"/>
      <c r="AI306" s="357"/>
      <c r="AJ306" s="357"/>
      <c r="AK306" s="357"/>
      <c r="AL306" s="357"/>
      <c r="AM306" s="357"/>
      <c r="AN306" s="357"/>
      <c r="AO306" s="357"/>
      <c r="AP306" s="357"/>
      <c r="AQ306" s="357"/>
      <c r="AR306" s="357"/>
      <c r="AS306" s="357"/>
      <c r="AT306" s="357"/>
      <c r="AU306" s="357"/>
      <c r="AV306" s="357"/>
      <c r="AW306" s="357"/>
      <c r="AX306" s="357"/>
      <c r="AY306" s="357"/>
      <c r="AZ306" s="357"/>
      <c r="BA306" s="357"/>
      <c r="BB306" s="357"/>
      <c r="BC306" s="357"/>
      <c r="BD306" s="357"/>
    </row>
    <row r="307" spans="1:56" ht="16.5" thickBot="1">
      <c r="A307" s="432" t="s">
        <v>313</v>
      </c>
      <c r="B307" s="430" t="s">
        <v>311</v>
      </c>
      <c r="C307" s="377">
        <v>150</v>
      </c>
      <c r="D307" s="377">
        <v>150</v>
      </c>
      <c r="E307" s="377">
        <v>150</v>
      </c>
      <c r="F307" s="377">
        <v>150</v>
      </c>
      <c r="G307" s="377">
        <v>150</v>
      </c>
      <c r="H307" s="377">
        <v>150</v>
      </c>
      <c r="I307" s="377">
        <v>150</v>
      </c>
      <c r="J307" s="377">
        <v>150</v>
      </c>
      <c r="K307" s="377">
        <v>150</v>
      </c>
      <c r="L307" s="377">
        <v>150</v>
      </c>
      <c r="M307" s="377">
        <v>150</v>
      </c>
      <c r="N307" s="401">
        <v>150</v>
      </c>
      <c r="O307" s="455">
        <f t="shared" si="24"/>
        <v>158</v>
      </c>
      <c r="P307" s="455">
        <f t="shared" si="25"/>
        <v>158</v>
      </c>
      <c r="Q307" s="455">
        <f t="shared" si="26"/>
        <v>158</v>
      </c>
      <c r="R307" s="736">
        <f t="shared" si="27"/>
        <v>158</v>
      </c>
      <c r="S307" s="402">
        <v>0.05</v>
      </c>
      <c r="T307" s="589">
        <v>0.15</v>
      </c>
      <c r="U307" s="378">
        <v>0.15</v>
      </c>
      <c r="V307" s="378">
        <v>0.15</v>
      </c>
      <c r="W307" s="380">
        <v>0.15</v>
      </c>
      <c r="X307" s="357"/>
      <c r="Y307" s="357"/>
      <c r="Z307" s="357"/>
      <c r="AA307" s="357"/>
      <c r="AB307" s="357"/>
      <c r="AC307" s="357"/>
      <c r="AD307" s="357"/>
      <c r="AE307" s="357"/>
      <c r="AF307" s="357"/>
      <c r="AG307" s="357"/>
      <c r="AH307" s="357"/>
      <c r="AI307" s="357"/>
      <c r="AJ307" s="357"/>
      <c r="AK307" s="357"/>
      <c r="AL307" s="357"/>
      <c r="AM307" s="357"/>
      <c r="AN307" s="357"/>
      <c r="AO307" s="357"/>
      <c r="AP307" s="357"/>
      <c r="AQ307" s="357"/>
      <c r="AR307" s="357"/>
      <c r="AS307" s="357"/>
      <c r="AT307" s="357"/>
      <c r="AU307" s="357"/>
      <c r="AV307" s="357"/>
      <c r="AW307" s="357"/>
      <c r="AX307" s="357"/>
      <c r="AY307" s="357"/>
      <c r="AZ307" s="357"/>
      <c r="BA307" s="357"/>
      <c r="BB307" s="357"/>
      <c r="BC307" s="357"/>
      <c r="BD307" s="357"/>
    </row>
    <row r="308" spans="1:56" ht="16.5" thickBot="1">
      <c r="A308" s="432" t="s">
        <v>314</v>
      </c>
      <c r="B308" s="430" t="s">
        <v>315</v>
      </c>
      <c r="C308" s="377">
        <v>240</v>
      </c>
      <c r="D308" s="377">
        <v>240</v>
      </c>
      <c r="E308" s="377">
        <v>240</v>
      </c>
      <c r="F308" s="377">
        <v>240</v>
      </c>
      <c r="G308" s="377">
        <v>240</v>
      </c>
      <c r="H308" s="377">
        <v>240</v>
      </c>
      <c r="I308" s="377">
        <v>240</v>
      </c>
      <c r="J308" s="377">
        <v>240</v>
      </c>
      <c r="K308" s="377">
        <v>240</v>
      </c>
      <c r="L308" s="377">
        <v>240</v>
      </c>
      <c r="M308" s="377">
        <v>240</v>
      </c>
      <c r="N308" s="401">
        <v>240</v>
      </c>
      <c r="O308" s="455">
        <f t="shared" si="24"/>
        <v>252</v>
      </c>
      <c r="P308" s="455">
        <f t="shared" si="25"/>
        <v>252</v>
      </c>
      <c r="Q308" s="455">
        <f t="shared" si="26"/>
        <v>252</v>
      </c>
      <c r="R308" s="736">
        <f t="shared" si="27"/>
        <v>252</v>
      </c>
      <c r="S308" s="402">
        <v>0.05</v>
      </c>
      <c r="T308" s="589">
        <v>0.2</v>
      </c>
      <c r="U308" s="378">
        <v>0.1</v>
      </c>
      <c r="V308" s="378">
        <v>0.1</v>
      </c>
      <c r="W308" s="380">
        <v>0.1</v>
      </c>
      <c r="X308" s="357"/>
      <c r="Y308" s="357"/>
      <c r="Z308" s="357"/>
      <c r="AA308" s="357"/>
      <c r="AB308" s="357"/>
      <c r="AC308" s="357"/>
      <c r="AD308" s="357"/>
      <c r="AE308" s="357"/>
      <c r="AF308" s="357"/>
      <c r="AG308" s="357"/>
      <c r="AH308" s="357"/>
      <c r="AI308" s="357"/>
      <c r="AJ308" s="357"/>
      <c r="AK308" s="357"/>
      <c r="AL308" s="357"/>
      <c r="AM308" s="357"/>
      <c r="AN308" s="357"/>
      <c r="AO308" s="357"/>
      <c r="AP308" s="357"/>
      <c r="AQ308" s="357"/>
      <c r="AR308" s="357"/>
      <c r="AS308" s="357"/>
      <c r="AT308" s="357"/>
      <c r="AU308" s="357"/>
      <c r="AV308" s="357"/>
      <c r="AW308" s="357"/>
      <c r="AX308" s="357"/>
      <c r="AY308" s="357"/>
      <c r="AZ308" s="357"/>
      <c r="BA308" s="357"/>
      <c r="BB308" s="357"/>
      <c r="BC308" s="357"/>
      <c r="BD308" s="357"/>
    </row>
    <row r="309" spans="1:56" ht="16.5" thickBot="1">
      <c r="A309" s="432" t="s">
        <v>316</v>
      </c>
      <c r="B309" s="433" t="s">
        <v>311</v>
      </c>
      <c r="C309" s="383">
        <v>240</v>
      </c>
      <c r="D309" s="383">
        <v>240</v>
      </c>
      <c r="E309" s="383">
        <v>240</v>
      </c>
      <c r="F309" s="383">
        <v>240</v>
      </c>
      <c r="G309" s="383">
        <v>240</v>
      </c>
      <c r="H309" s="383">
        <v>240</v>
      </c>
      <c r="I309" s="383">
        <v>240</v>
      </c>
      <c r="J309" s="383">
        <v>240</v>
      </c>
      <c r="K309" s="383">
        <v>240</v>
      </c>
      <c r="L309" s="383">
        <v>240</v>
      </c>
      <c r="M309" s="383">
        <v>240</v>
      </c>
      <c r="N309" s="406">
        <v>240</v>
      </c>
      <c r="O309" s="737">
        <f t="shared" si="24"/>
        <v>252</v>
      </c>
      <c r="P309" s="737">
        <f t="shared" si="25"/>
        <v>252</v>
      </c>
      <c r="Q309" s="737">
        <f t="shared" si="26"/>
        <v>252</v>
      </c>
      <c r="R309" s="738">
        <f t="shared" si="27"/>
        <v>252</v>
      </c>
      <c r="S309" s="407">
        <v>0.05</v>
      </c>
      <c r="T309" s="590">
        <v>0.15</v>
      </c>
      <c r="U309" s="426">
        <v>0.15</v>
      </c>
      <c r="V309" s="426">
        <v>0.15</v>
      </c>
      <c r="W309" s="427">
        <v>0.15</v>
      </c>
      <c r="X309" s="357"/>
      <c r="Y309" s="357"/>
      <c r="Z309" s="357"/>
      <c r="AA309" s="357"/>
      <c r="AB309" s="357"/>
      <c r="AC309" s="357"/>
      <c r="AD309" s="357"/>
      <c r="AE309" s="357"/>
      <c r="AF309" s="357"/>
      <c r="AG309" s="357"/>
      <c r="AH309" s="357"/>
      <c r="AI309" s="357"/>
      <c r="AJ309" s="357"/>
      <c r="AK309" s="357"/>
      <c r="AL309" s="357"/>
      <c r="AM309" s="357"/>
      <c r="AN309" s="357"/>
      <c r="AO309" s="357"/>
      <c r="AP309" s="357"/>
      <c r="AQ309" s="357"/>
      <c r="AR309" s="357"/>
      <c r="AS309" s="357"/>
      <c r="AT309" s="357"/>
      <c r="AU309" s="357"/>
      <c r="AV309" s="357"/>
      <c r="AW309" s="357"/>
      <c r="AX309" s="357"/>
      <c r="AY309" s="357"/>
      <c r="AZ309" s="357"/>
      <c r="BA309" s="357"/>
      <c r="BB309" s="357"/>
      <c r="BC309" s="357"/>
      <c r="BD309" s="357"/>
    </row>
    <row r="310" spans="1:56">
      <c r="G310" s="357"/>
      <c r="H310" s="357"/>
      <c r="I310" s="357"/>
      <c r="J310" s="357"/>
      <c r="K310" s="357"/>
      <c r="L310" s="357"/>
      <c r="M310" s="357"/>
      <c r="N310" s="357"/>
      <c r="O310" s="357"/>
      <c r="P310" s="357"/>
      <c r="Q310" s="357"/>
      <c r="R310" s="357"/>
      <c r="S310" s="357"/>
      <c r="T310" s="591"/>
      <c r="U310" s="591"/>
      <c r="V310" s="591"/>
      <c r="W310" s="591"/>
      <c r="X310" s="357"/>
      <c r="Y310" s="357"/>
      <c r="Z310" s="357"/>
      <c r="AA310" s="357"/>
      <c r="AB310" s="357"/>
      <c r="AC310" s="357"/>
      <c r="AD310" s="357"/>
      <c r="AE310" s="357"/>
      <c r="AF310" s="357"/>
      <c r="AG310" s="357"/>
      <c r="AH310" s="357"/>
      <c r="AI310" s="357"/>
      <c r="AJ310" s="357"/>
      <c r="AK310" s="357"/>
      <c r="AL310" s="357"/>
      <c r="AM310" s="357"/>
      <c r="AN310" s="357"/>
      <c r="AO310" s="357"/>
      <c r="AP310" s="357"/>
      <c r="AQ310" s="357"/>
      <c r="AR310" s="357"/>
      <c r="AS310" s="357"/>
      <c r="AT310" s="357"/>
      <c r="AU310" s="357"/>
      <c r="AV310" s="357"/>
      <c r="AW310" s="357"/>
      <c r="AX310" s="357"/>
      <c r="AY310" s="357"/>
      <c r="AZ310" s="357"/>
      <c r="BA310" s="357"/>
      <c r="BB310" s="357"/>
      <c r="BC310" s="357"/>
      <c r="BD310" s="357"/>
    </row>
    <row r="311" spans="1:56">
      <c r="G311" s="357"/>
      <c r="H311" s="357"/>
      <c r="I311" s="357"/>
      <c r="J311" s="357"/>
      <c r="K311" s="357"/>
      <c r="L311" s="357"/>
      <c r="M311" s="357"/>
      <c r="N311" s="357"/>
      <c r="O311" s="357"/>
      <c r="P311" s="357"/>
      <c r="Q311" s="357"/>
      <c r="R311" s="357"/>
      <c r="S311" s="357"/>
      <c r="T311" s="357"/>
      <c r="U311" s="357"/>
      <c r="V311" s="357"/>
      <c r="W311" s="357"/>
      <c r="X311" s="357"/>
      <c r="Y311" s="357"/>
      <c r="Z311" s="357"/>
      <c r="AA311" s="357"/>
      <c r="AB311" s="357"/>
      <c r="AC311" s="357"/>
      <c r="AD311" s="357"/>
      <c r="AE311" s="357"/>
      <c r="AF311" s="357"/>
      <c r="AG311" s="357"/>
      <c r="AH311" s="357"/>
      <c r="AI311" s="357"/>
      <c r="AJ311" s="357"/>
      <c r="AK311" s="357"/>
      <c r="AL311" s="357"/>
      <c r="AM311" s="357"/>
      <c r="AN311" s="357"/>
      <c r="AO311" s="357"/>
      <c r="AP311" s="357"/>
      <c r="AQ311" s="357"/>
      <c r="AR311" s="357"/>
      <c r="AS311" s="357"/>
      <c r="AT311" s="357"/>
      <c r="AU311" s="357"/>
      <c r="AV311" s="357"/>
      <c r="AW311" s="357"/>
      <c r="AX311" s="357"/>
      <c r="AY311" s="357"/>
      <c r="AZ311" s="357"/>
      <c r="BA311" s="357"/>
      <c r="BB311" s="357"/>
      <c r="BC311" s="357"/>
      <c r="BD311" s="357"/>
    </row>
    <row r="312" spans="1:56" ht="16.5" thickBot="1">
      <c r="G312" s="357"/>
      <c r="H312" s="357"/>
      <c r="I312" s="357"/>
      <c r="J312" s="357"/>
      <c r="K312" s="357"/>
      <c r="L312" s="357"/>
      <c r="M312" s="357"/>
      <c r="N312" s="357"/>
      <c r="O312" s="357"/>
      <c r="P312" s="357"/>
      <c r="Q312" s="357"/>
      <c r="R312" s="357"/>
      <c r="S312" s="357"/>
      <c r="T312" s="357"/>
      <c r="U312" s="357"/>
      <c r="V312" s="357"/>
      <c r="W312" s="357"/>
      <c r="X312" s="357"/>
      <c r="Y312" s="357"/>
      <c r="Z312" s="357"/>
      <c r="AA312" s="357"/>
      <c r="AB312" s="357"/>
      <c r="AC312" s="357"/>
      <c r="AD312" s="357"/>
      <c r="AE312" s="357"/>
      <c r="AF312" s="357"/>
      <c r="AG312" s="357"/>
      <c r="AH312" s="357"/>
      <c r="AI312" s="357"/>
      <c r="AJ312" s="357"/>
      <c r="AK312" s="357"/>
      <c r="AL312" s="357"/>
      <c r="AM312" s="357"/>
      <c r="AN312" s="357"/>
      <c r="AO312" s="357"/>
      <c r="AP312" s="357"/>
      <c r="AQ312" s="357"/>
      <c r="AR312" s="357"/>
      <c r="AS312" s="357"/>
      <c r="AT312" s="357"/>
      <c r="AU312" s="357"/>
      <c r="AV312" s="357"/>
      <c r="AW312" s="357"/>
      <c r="AX312" s="357"/>
      <c r="AY312" s="357"/>
      <c r="AZ312" s="357"/>
      <c r="BA312" s="357"/>
      <c r="BB312" s="357"/>
      <c r="BC312" s="357"/>
      <c r="BD312" s="357"/>
    </row>
    <row r="313" spans="1:56" ht="16.5" thickBot="1">
      <c r="A313" s="1069" t="s">
        <v>441</v>
      </c>
      <c r="B313" s="1070"/>
      <c r="C313" s="622" t="s">
        <v>443</v>
      </c>
      <c r="D313" s="632" t="s">
        <v>444</v>
      </c>
      <c r="G313" s="357"/>
      <c r="H313" s="357"/>
      <c r="I313" s="357"/>
      <c r="J313" s="357"/>
      <c r="K313" s="357"/>
      <c r="L313" s="357"/>
      <c r="M313" s="357"/>
      <c r="N313" s="357"/>
      <c r="O313" s="357"/>
      <c r="P313" s="357"/>
      <c r="Q313" s="357"/>
      <c r="R313" s="357"/>
      <c r="S313" s="357"/>
      <c r="T313" s="357"/>
      <c r="U313" s="357"/>
      <c r="V313" s="357"/>
      <c r="W313" s="357"/>
      <c r="X313" s="357"/>
      <c r="Y313" s="357"/>
      <c r="Z313" s="357"/>
      <c r="AA313" s="357"/>
      <c r="AB313" s="357"/>
      <c r="AC313" s="357"/>
      <c r="AD313" s="357"/>
      <c r="AE313" s="357"/>
      <c r="AF313" s="357"/>
      <c r="AG313" s="357"/>
      <c r="AH313" s="357"/>
      <c r="AI313" s="357"/>
      <c r="AJ313" s="357"/>
      <c r="AK313" s="357"/>
      <c r="AL313" s="357"/>
      <c r="AM313" s="357"/>
      <c r="AN313" s="357"/>
      <c r="AO313" s="357"/>
      <c r="AP313" s="357"/>
      <c r="AQ313" s="357"/>
      <c r="AR313" s="357"/>
      <c r="AS313" s="357"/>
      <c r="AT313" s="357"/>
      <c r="AU313" s="357"/>
      <c r="AV313" s="357"/>
      <c r="AW313" s="357"/>
      <c r="AX313" s="357"/>
      <c r="AY313" s="357"/>
      <c r="AZ313" s="357"/>
      <c r="BA313" s="357"/>
      <c r="BB313" s="357"/>
      <c r="BC313" s="357"/>
      <c r="BD313" s="357"/>
    </row>
    <row r="314" spans="1:56">
      <c r="A314" s="621" t="s">
        <v>243</v>
      </c>
      <c r="B314" s="317">
        <v>497571.33</v>
      </c>
      <c r="C314" s="621">
        <v>30</v>
      </c>
      <c r="D314" s="337">
        <v>30</v>
      </c>
      <c r="G314" s="357"/>
      <c r="H314" s="357"/>
      <c r="I314" s="357"/>
      <c r="J314" s="357"/>
      <c r="K314" s="357"/>
      <c r="L314" s="357"/>
      <c r="M314" s="357"/>
      <c r="N314" s="357"/>
      <c r="O314" s="357"/>
      <c r="P314" s="357"/>
      <c r="Q314" s="357"/>
      <c r="R314" s="357"/>
      <c r="S314" s="357"/>
      <c r="T314" s="357"/>
      <c r="U314" s="357"/>
      <c r="V314" s="357"/>
      <c r="W314" s="357"/>
      <c r="X314" s="357"/>
      <c r="Y314" s="357"/>
      <c r="Z314" s="357"/>
      <c r="AA314" s="357"/>
      <c r="AB314" s="357"/>
      <c r="AC314" s="357"/>
      <c r="AD314" s="357"/>
      <c r="AE314" s="357"/>
      <c r="AF314" s="357"/>
      <c r="AG314" s="357"/>
      <c r="AH314" s="357"/>
      <c r="AI314" s="357"/>
      <c r="AJ314" s="357"/>
      <c r="AK314" s="357"/>
      <c r="AL314" s="357"/>
      <c r="AM314" s="357"/>
      <c r="AN314" s="357"/>
      <c r="AO314" s="357"/>
      <c r="AP314" s="357"/>
      <c r="AQ314" s="357"/>
      <c r="AR314" s="357"/>
      <c r="AS314" s="357"/>
      <c r="AT314" s="357"/>
      <c r="AU314" s="357"/>
      <c r="AV314" s="357"/>
      <c r="AW314" s="357"/>
      <c r="AX314" s="357"/>
      <c r="AY314" s="357"/>
      <c r="AZ314" s="357"/>
      <c r="BA314" s="357"/>
      <c r="BB314" s="357"/>
      <c r="BC314" s="357"/>
      <c r="BD314" s="357"/>
    </row>
    <row r="315" spans="1:56">
      <c r="A315" s="320" t="s">
        <v>244</v>
      </c>
      <c r="B315" s="324">
        <v>22964.840000000004</v>
      </c>
      <c r="C315" s="320">
        <v>30</v>
      </c>
      <c r="D315" s="319">
        <v>30</v>
      </c>
      <c r="G315" s="357"/>
      <c r="H315" s="357"/>
      <c r="I315" s="357"/>
      <c r="J315" s="357"/>
      <c r="K315" s="357"/>
      <c r="L315" s="357"/>
      <c r="M315" s="357"/>
      <c r="N315" s="357"/>
      <c r="O315" s="357"/>
      <c r="P315" s="357"/>
      <c r="Q315" s="357"/>
      <c r="R315" s="357"/>
      <c r="S315" s="357"/>
      <c r="T315" s="357"/>
      <c r="U315" s="357"/>
      <c r="V315" s="357"/>
      <c r="W315" s="357"/>
      <c r="X315" s="357"/>
      <c r="Y315" s="357"/>
      <c r="Z315" s="357"/>
      <c r="AA315" s="357"/>
      <c r="AB315" s="357"/>
      <c r="AC315" s="357"/>
      <c r="AD315" s="357"/>
      <c r="AE315" s="357"/>
      <c r="AF315" s="357"/>
      <c r="AG315" s="357"/>
      <c r="AH315" s="357"/>
      <c r="AI315" s="357"/>
      <c r="AJ315" s="357"/>
      <c r="AK315" s="357"/>
      <c r="AL315" s="357"/>
      <c r="AM315" s="357"/>
      <c r="AN315" s="357"/>
      <c r="AO315" s="357"/>
      <c r="AP315" s="357"/>
      <c r="AQ315" s="357"/>
      <c r="AR315" s="357"/>
      <c r="AS315" s="357"/>
      <c r="AT315" s="357"/>
      <c r="AU315" s="357"/>
      <c r="AV315" s="357"/>
      <c r="AW315" s="357"/>
      <c r="AX315" s="357"/>
      <c r="AY315" s="357"/>
      <c r="AZ315" s="357"/>
      <c r="BA315" s="357"/>
      <c r="BB315" s="357"/>
      <c r="BC315" s="357"/>
      <c r="BD315" s="357"/>
    </row>
    <row r="316" spans="1:56">
      <c r="A316" s="320" t="s">
        <v>245</v>
      </c>
      <c r="B316" s="324">
        <v>0</v>
      </c>
      <c r="C316" s="320">
        <v>30</v>
      </c>
      <c r="D316" s="319">
        <v>30</v>
      </c>
      <c r="G316" s="357"/>
      <c r="H316" s="357"/>
      <c r="I316" s="357"/>
      <c r="J316" s="357"/>
      <c r="K316" s="357"/>
      <c r="L316" s="357"/>
      <c r="M316" s="357"/>
      <c r="N316" s="357"/>
      <c r="O316" s="357"/>
      <c r="P316" s="357"/>
      <c r="Q316" s="357"/>
      <c r="R316" s="357"/>
      <c r="S316" s="357"/>
      <c r="T316" s="357"/>
      <c r="U316" s="357"/>
      <c r="V316" s="357"/>
      <c r="W316" s="357"/>
      <c r="X316" s="357"/>
      <c r="Y316" s="357"/>
      <c r="Z316" s="357"/>
      <c r="AA316" s="357"/>
      <c r="AB316" s="357"/>
      <c r="AC316" s="357"/>
      <c r="AD316" s="357"/>
      <c r="AE316" s="357"/>
      <c r="AF316" s="357"/>
      <c r="AG316" s="357"/>
      <c r="AH316" s="357"/>
      <c r="AI316" s="357"/>
      <c r="AJ316" s="357"/>
      <c r="AK316" s="357"/>
      <c r="AL316" s="357"/>
      <c r="AM316" s="357"/>
      <c r="AN316" s="357"/>
      <c r="AO316" s="357"/>
      <c r="AP316" s="357"/>
      <c r="AQ316" s="357"/>
      <c r="AR316" s="357"/>
      <c r="AS316" s="357"/>
      <c r="AT316" s="357"/>
      <c r="AU316" s="357"/>
      <c r="AV316" s="357"/>
      <c r="AW316" s="357"/>
      <c r="AX316" s="357"/>
      <c r="AY316" s="357"/>
      <c r="AZ316" s="357"/>
      <c r="BA316" s="357"/>
      <c r="BB316" s="357"/>
      <c r="BC316" s="357"/>
      <c r="BD316" s="357"/>
    </row>
    <row r="317" spans="1:56">
      <c r="A317" s="320" t="s">
        <v>246</v>
      </c>
      <c r="B317" s="324">
        <v>0</v>
      </c>
      <c r="C317" s="320">
        <v>30</v>
      </c>
      <c r="D317" s="319">
        <v>30</v>
      </c>
      <c r="G317" s="357"/>
      <c r="H317" s="357"/>
      <c r="I317" s="357"/>
      <c r="J317" s="357"/>
      <c r="K317" s="357"/>
      <c r="L317" s="357"/>
      <c r="M317" s="357"/>
      <c r="N317" s="357"/>
      <c r="O317" s="357"/>
      <c r="P317" s="357"/>
      <c r="Q317" s="357"/>
      <c r="R317" s="357"/>
      <c r="S317" s="357"/>
      <c r="T317" s="357"/>
      <c r="U317" s="357"/>
      <c r="V317" s="357"/>
      <c r="W317" s="357"/>
      <c r="X317" s="357"/>
      <c r="Y317" s="357"/>
      <c r="Z317" s="357"/>
      <c r="AA317" s="357"/>
      <c r="AB317" s="357"/>
      <c r="AC317" s="357"/>
      <c r="AD317" s="357"/>
      <c r="AE317" s="357"/>
      <c r="AF317" s="357"/>
      <c r="AG317" s="357"/>
      <c r="AH317" s="357"/>
      <c r="AI317" s="357"/>
      <c r="AJ317" s="357"/>
      <c r="AK317" s="357"/>
      <c r="AL317" s="357"/>
      <c r="AM317" s="357"/>
      <c r="AN317" s="357"/>
      <c r="AO317" s="357"/>
      <c r="AP317" s="357"/>
      <c r="AQ317" s="357"/>
      <c r="AR317" s="357"/>
      <c r="AS317" s="357"/>
      <c r="AT317" s="357"/>
      <c r="AU317" s="357"/>
      <c r="AV317" s="357"/>
      <c r="AW317" s="357"/>
      <c r="AX317" s="357"/>
      <c r="AY317" s="357"/>
      <c r="AZ317" s="357"/>
      <c r="BA317" s="357"/>
      <c r="BB317" s="357"/>
      <c r="BC317" s="357"/>
      <c r="BD317" s="357"/>
    </row>
    <row r="318" spans="1:56" ht="16.5" thickBot="1">
      <c r="A318" s="371" t="s">
        <v>247</v>
      </c>
      <c r="B318" s="546">
        <v>0</v>
      </c>
      <c r="C318" s="371">
        <v>30</v>
      </c>
      <c r="D318" s="620">
        <v>30</v>
      </c>
      <c r="G318" s="357"/>
      <c r="H318" s="357"/>
      <c r="I318" s="357"/>
      <c r="J318" s="357"/>
      <c r="K318" s="357"/>
      <c r="L318" s="357"/>
      <c r="M318" s="357"/>
      <c r="N318" s="357"/>
      <c r="O318" s="357"/>
      <c r="P318" s="357"/>
      <c r="Q318" s="357"/>
      <c r="R318" s="357"/>
      <c r="S318" s="357"/>
      <c r="T318" s="357"/>
      <c r="U318" s="357"/>
      <c r="V318" s="357"/>
      <c r="W318" s="357"/>
      <c r="X318" s="357"/>
      <c r="Y318" s="357"/>
      <c r="Z318" s="357"/>
      <c r="AA318" s="357"/>
      <c r="AB318" s="357"/>
      <c r="AC318" s="357"/>
      <c r="AD318" s="357"/>
      <c r="AE318" s="357"/>
      <c r="AF318" s="357"/>
      <c r="AG318" s="357"/>
      <c r="AH318" s="357"/>
      <c r="AI318" s="357"/>
      <c r="AJ318" s="357"/>
      <c r="AK318" s="357"/>
      <c r="AL318" s="357"/>
      <c r="AM318" s="357"/>
      <c r="AN318" s="357"/>
      <c r="AO318" s="357"/>
      <c r="AP318" s="357"/>
      <c r="AQ318" s="357"/>
      <c r="AR318" s="357"/>
      <c r="AS318" s="357"/>
      <c r="AT318" s="357"/>
      <c r="AU318" s="357"/>
      <c r="AV318" s="357"/>
      <c r="AW318" s="357"/>
      <c r="AX318" s="357"/>
      <c r="AY318" s="357"/>
      <c r="AZ318" s="357"/>
      <c r="BA318" s="357"/>
      <c r="BB318" s="357"/>
      <c r="BC318" s="357"/>
      <c r="BD318" s="357"/>
    </row>
    <row r="319" spans="1:56" ht="16.5" thickBot="1">
      <c r="G319" s="357"/>
      <c r="H319" s="357"/>
      <c r="I319" s="357"/>
      <c r="J319" s="357"/>
      <c r="K319" s="357"/>
      <c r="L319" s="357"/>
      <c r="M319" s="357"/>
      <c r="N319" s="357"/>
      <c r="O319" s="357"/>
      <c r="P319" s="357"/>
      <c r="Q319" s="357"/>
      <c r="R319" s="357"/>
      <c r="S319" s="357"/>
      <c r="T319" s="357"/>
      <c r="U319" s="357"/>
      <c r="V319" s="357"/>
      <c r="W319" s="357"/>
      <c r="X319" s="357"/>
      <c r="Y319" s="357"/>
      <c r="Z319" s="357"/>
      <c r="AA319" s="357"/>
      <c r="AB319" s="357"/>
      <c r="AC319" s="357"/>
      <c r="AD319" s="357"/>
      <c r="AE319" s="357"/>
      <c r="AF319" s="357"/>
      <c r="AG319" s="357"/>
      <c r="AH319" s="357"/>
      <c r="AI319" s="357"/>
      <c r="AJ319" s="357"/>
      <c r="AK319" s="357"/>
      <c r="AL319" s="357"/>
      <c r="AM319" s="357"/>
      <c r="AN319" s="357"/>
      <c r="AO319" s="357"/>
      <c r="AP319" s="357"/>
      <c r="AQ319" s="357"/>
      <c r="AR319" s="357"/>
      <c r="AS319" s="357"/>
      <c r="AT319" s="357"/>
      <c r="AU319" s="357"/>
      <c r="AV319" s="357"/>
      <c r="AW319" s="357"/>
      <c r="AX319" s="357"/>
      <c r="AY319" s="357"/>
      <c r="AZ319" s="357"/>
      <c r="BA319" s="357"/>
      <c r="BB319" s="357"/>
      <c r="BC319" s="357"/>
      <c r="BD319" s="357"/>
    </row>
    <row r="320" spans="1:56" ht="16.5" thickBot="1">
      <c r="A320" s="622" t="s">
        <v>442</v>
      </c>
      <c r="B320" s="623">
        <v>44652</v>
      </c>
      <c r="C320" s="624">
        <v>44682</v>
      </c>
      <c r="D320" s="623">
        <v>44713</v>
      </c>
      <c r="E320" s="624">
        <v>44743</v>
      </c>
      <c r="F320" s="623">
        <v>44774</v>
      </c>
      <c r="G320" s="624">
        <v>44805</v>
      </c>
      <c r="H320" s="623">
        <v>44835</v>
      </c>
      <c r="I320" s="624">
        <v>44866</v>
      </c>
      <c r="J320" s="623">
        <v>44896</v>
      </c>
      <c r="K320" s="624">
        <v>44927</v>
      </c>
      <c r="L320" s="623">
        <v>44958</v>
      </c>
      <c r="M320" s="625">
        <v>44986</v>
      </c>
      <c r="N320" s="357"/>
      <c r="O320" s="357"/>
      <c r="P320" s="357"/>
      <c r="Q320" s="357"/>
      <c r="R320" s="357"/>
      <c r="S320" s="357"/>
      <c r="T320" s="357"/>
      <c r="U320" s="357"/>
      <c r="V320" s="357"/>
      <c r="W320" s="357"/>
      <c r="X320" s="357"/>
      <c r="Y320" s="357"/>
      <c r="Z320" s="357"/>
      <c r="AA320" s="357"/>
      <c r="AB320" s="357"/>
      <c r="AC320" s="357"/>
      <c r="AD320" s="357"/>
      <c r="AE320" s="357"/>
      <c r="AF320" s="357"/>
      <c r="AG320" s="357"/>
      <c r="AH320" s="357"/>
      <c r="AI320" s="357"/>
      <c r="AJ320" s="357"/>
      <c r="AK320" s="357"/>
      <c r="AL320" s="357"/>
      <c r="AM320" s="357"/>
      <c r="AN320" s="357"/>
      <c r="AO320" s="357"/>
      <c r="AP320" s="357"/>
      <c r="AQ320" s="357"/>
      <c r="AR320" s="357"/>
      <c r="AS320" s="357"/>
      <c r="AT320" s="357"/>
      <c r="AU320" s="357"/>
      <c r="AV320" s="357"/>
      <c r="AW320" s="357"/>
      <c r="AX320" s="357"/>
      <c r="AY320" s="357"/>
      <c r="AZ320" s="357"/>
      <c r="BA320" s="357"/>
      <c r="BB320" s="357"/>
      <c r="BC320" s="357"/>
      <c r="BD320" s="357"/>
    </row>
    <row r="321" spans="1:56">
      <c r="A321" s="621" t="s">
        <v>243</v>
      </c>
      <c r="B321" s="626">
        <v>0.9</v>
      </c>
      <c r="C321" s="626">
        <v>0.9</v>
      </c>
      <c r="D321" s="626">
        <v>0.9</v>
      </c>
      <c r="E321" s="626">
        <v>0.9</v>
      </c>
      <c r="F321" s="626">
        <v>0.9</v>
      </c>
      <c r="G321" s="626">
        <v>0.9</v>
      </c>
      <c r="H321" s="626">
        <v>0.9</v>
      </c>
      <c r="I321" s="626">
        <v>0.9</v>
      </c>
      <c r="J321" s="626">
        <v>0.9</v>
      </c>
      <c r="K321" s="626">
        <v>0.9</v>
      </c>
      <c r="L321" s="626">
        <v>0.9</v>
      </c>
      <c r="M321" s="627">
        <v>0.9</v>
      </c>
      <c r="N321" s="357"/>
      <c r="O321" s="357"/>
      <c r="P321" s="357"/>
      <c r="Q321" s="357"/>
      <c r="R321" s="357"/>
      <c r="S321" s="357"/>
      <c r="T321" s="357"/>
      <c r="U321" s="357"/>
      <c r="V321" s="357"/>
      <c r="W321" s="357"/>
      <c r="X321" s="357"/>
      <c r="Y321" s="357"/>
      <c r="Z321" s="357"/>
      <c r="AA321" s="357"/>
      <c r="AB321" s="357"/>
      <c r="AC321" s="357"/>
      <c r="AD321" s="357"/>
      <c r="AE321" s="357"/>
      <c r="AF321" s="357"/>
      <c r="AG321" s="357"/>
      <c r="AH321" s="357"/>
      <c r="AI321" s="357"/>
      <c r="AJ321" s="357"/>
      <c r="AK321" s="357"/>
      <c r="AL321" s="357"/>
      <c r="AM321" s="357"/>
      <c r="AN321" s="357"/>
      <c r="AO321" s="357"/>
      <c r="AP321" s="357"/>
      <c r="AQ321" s="357"/>
      <c r="AR321" s="357"/>
      <c r="AS321" s="357"/>
      <c r="AT321" s="357"/>
      <c r="AU321" s="357"/>
      <c r="AV321" s="357"/>
      <c r="AW321" s="357"/>
      <c r="AX321" s="357"/>
      <c r="AY321" s="357"/>
      <c r="AZ321" s="357"/>
      <c r="BA321" s="357"/>
      <c r="BB321" s="357"/>
      <c r="BC321" s="357"/>
      <c r="BD321" s="357"/>
    </row>
    <row r="322" spans="1:56">
      <c r="A322" s="320" t="s">
        <v>244</v>
      </c>
      <c r="B322" s="347">
        <v>0.9</v>
      </c>
      <c r="C322" s="347">
        <v>0.9</v>
      </c>
      <c r="D322" s="347">
        <v>0.9</v>
      </c>
      <c r="E322" s="347">
        <v>0.9</v>
      </c>
      <c r="F322" s="347">
        <v>0.9</v>
      </c>
      <c r="G322" s="347">
        <v>0.9</v>
      </c>
      <c r="H322" s="347">
        <v>0.9</v>
      </c>
      <c r="I322" s="347">
        <v>0.9</v>
      </c>
      <c r="J322" s="347">
        <v>0.9</v>
      </c>
      <c r="K322" s="347">
        <v>0.9</v>
      </c>
      <c r="L322" s="347">
        <v>0.9</v>
      </c>
      <c r="M322" s="348">
        <v>0.9</v>
      </c>
      <c r="N322" s="357"/>
      <c r="O322" s="357"/>
      <c r="P322" s="357"/>
      <c r="Q322" s="357"/>
      <c r="R322" s="357"/>
      <c r="S322" s="357"/>
      <c r="T322" s="357"/>
      <c r="U322" s="357"/>
      <c r="V322" s="357"/>
      <c r="W322" s="357"/>
      <c r="X322" s="357"/>
      <c r="Y322" s="357"/>
      <c r="Z322" s="357"/>
      <c r="AA322" s="357"/>
      <c r="AB322" s="357"/>
      <c r="AC322" s="357"/>
      <c r="AD322" s="357"/>
      <c r="AE322" s="357"/>
      <c r="AF322" s="357"/>
      <c r="AG322" s="357"/>
      <c r="AH322" s="357"/>
      <c r="AI322" s="357"/>
      <c r="AJ322" s="357"/>
      <c r="AK322" s="357"/>
      <c r="AL322" s="357"/>
      <c r="AM322" s="357"/>
      <c r="AN322" s="357"/>
      <c r="AO322" s="357"/>
      <c r="AP322" s="357"/>
      <c r="AQ322" s="357"/>
      <c r="AR322" s="357"/>
      <c r="AS322" s="357"/>
      <c r="AT322" s="357"/>
      <c r="AU322" s="357"/>
      <c r="AV322" s="357"/>
      <c r="AW322" s="357"/>
      <c r="AX322" s="357"/>
      <c r="AY322" s="357"/>
      <c r="AZ322" s="357"/>
      <c r="BA322" s="357"/>
      <c r="BB322" s="357"/>
      <c r="BC322" s="357"/>
      <c r="BD322" s="357"/>
    </row>
    <row r="323" spans="1:56">
      <c r="A323" s="320" t="s">
        <v>245</v>
      </c>
      <c r="B323" s="347">
        <v>0.9</v>
      </c>
      <c r="C323" s="347">
        <v>0.9</v>
      </c>
      <c r="D323" s="347">
        <v>0.9</v>
      </c>
      <c r="E323" s="347">
        <v>0.9</v>
      </c>
      <c r="F323" s="347">
        <v>0.9</v>
      </c>
      <c r="G323" s="347">
        <v>0.9</v>
      </c>
      <c r="H323" s="347">
        <v>0.9</v>
      </c>
      <c r="I323" s="347">
        <v>0.9</v>
      </c>
      <c r="J323" s="347">
        <v>0.9</v>
      </c>
      <c r="K323" s="347">
        <v>0.9</v>
      </c>
      <c r="L323" s="347">
        <v>0.9</v>
      </c>
      <c r="M323" s="348">
        <v>0.9</v>
      </c>
      <c r="N323" s="357"/>
      <c r="O323" s="357"/>
      <c r="P323" s="357"/>
      <c r="Q323" s="357"/>
      <c r="R323" s="357"/>
      <c r="S323" s="357"/>
      <c r="T323" s="357"/>
      <c r="U323" s="357"/>
      <c r="V323" s="357"/>
      <c r="W323" s="357"/>
      <c r="X323" s="357"/>
      <c r="Y323" s="357"/>
      <c r="Z323" s="357"/>
      <c r="AA323" s="357"/>
      <c r="AB323" s="357"/>
      <c r="AC323" s="357"/>
      <c r="AD323" s="357"/>
      <c r="AE323" s="357"/>
      <c r="AF323" s="357"/>
      <c r="AG323" s="357"/>
      <c r="AH323" s="357"/>
      <c r="AI323" s="357"/>
      <c r="AJ323" s="357"/>
      <c r="AK323" s="357"/>
      <c r="AL323" s="357"/>
      <c r="AM323" s="357"/>
      <c r="AN323" s="357"/>
      <c r="AO323" s="357"/>
      <c r="AP323" s="357"/>
      <c r="AQ323" s="357"/>
      <c r="AR323" s="357"/>
      <c r="AS323" s="357"/>
      <c r="AT323" s="357"/>
      <c r="AU323" s="357"/>
      <c r="AV323" s="357"/>
      <c r="AW323" s="357"/>
      <c r="AX323" s="357"/>
      <c r="AY323" s="357"/>
      <c r="AZ323" s="357"/>
      <c r="BA323" s="357"/>
      <c r="BB323" s="357"/>
      <c r="BC323" s="357"/>
      <c r="BD323" s="357"/>
    </row>
    <row r="324" spans="1:56">
      <c r="A324" s="320" t="s">
        <v>246</v>
      </c>
      <c r="B324" s="347">
        <v>0.9</v>
      </c>
      <c r="C324" s="347">
        <v>0.9</v>
      </c>
      <c r="D324" s="347">
        <v>0.9</v>
      </c>
      <c r="E324" s="347">
        <v>0.9</v>
      </c>
      <c r="F324" s="347">
        <v>0.9</v>
      </c>
      <c r="G324" s="347">
        <v>0.9</v>
      </c>
      <c r="H324" s="347">
        <v>0.9</v>
      </c>
      <c r="I324" s="347">
        <v>0.9</v>
      </c>
      <c r="J324" s="347">
        <v>0.9</v>
      </c>
      <c r="K324" s="347">
        <v>0.9</v>
      </c>
      <c r="L324" s="347">
        <v>0.9</v>
      </c>
      <c r="M324" s="348">
        <v>0.9</v>
      </c>
      <c r="N324" s="357"/>
      <c r="O324" s="357"/>
      <c r="P324" s="357"/>
      <c r="Q324" s="357"/>
      <c r="R324" s="357"/>
      <c r="S324" s="357"/>
      <c r="T324" s="357"/>
      <c r="U324" s="357"/>
      <c r="V324" s="357"/>
      <c r="W324" s="357"/>
      <c r="X324" s="357"/>
      <c r="Y324" s="357"/>
      <c r="Z324" s="357"/>
      <c r="AA324" s="357"/>
      <c r="AB324" s="357"/>
      <c r="AC324" s="357"/>
      <c r="AD324" s="357"/>
      <c r="AE324" s="357"/>
      <c r="AF324" s="357"/>
      <c r="AG324" s="357"/>
      <c r="AH324" s="357"/>
      <c r="AI324" s="357"/>
      <c r="AJ324" s="357"/>
      <c r="AK324" s="357"/>
      <c r="AL324" s="357"/>
      <c r="AM324" s="357"/>
      <c r="AN324" s="357"/>
      <c r="AO324" s="357"/>
      <c r="AP324" s="357"/>
      <c r="AQ324" s="357"/>
      <c r="AR324" s="357"/>
      <c r="AS324" s="357"/>
      <c r="AT324" s="357"/>
      <c r="AU324" s="357"/>
      <c r="AV324" s="357"/>
      <c r="AW324" s="357"/>
      <c r="AX324" s="357"/>
      <c r="AY324" s="357"/>
      <c r="AZ324" s="357"/>
      <c r="BA324" s="357"/>
      <c r="BB324" s="357"/>
      <c r="BC324" s="357"/>
      <c r="BD324" s="357"/>
    </row>
    <row r="325" spans="1:56" ht="16.5" thickBot="1">
      <c r="A325" s="371" t="s">
        <v>247</v>
      </c>
      <c r="B325" s="628">
        <v>0.9</v>
      </c>
      <c r="C325" s="628">
        <v>0.9</v>
      </c>
      <c r="D325" s="628">
        <v>0.9</v>
      </c>
      <c r="E325" s="628">
        <v>0.9</v>
      </c>
      <c r="F325" s="628">
        <v>0.9</v>
      </c>
      <c r="G325" s="628">
        <v>0.9</v>
      </c>
      <c r="H325" s="628">
        <v>0.9</v>
      </c>
      <c r="I325" s="628">
        <v>0.9</v>
      </c>
      <c r="J325" s="628">
        <v>0.9</v>
      </c>
      <c r="K325" s="628">
        <v>0.9</v>
      </c>
      <c r="L325" s="628">
        <v>0.9</v>
      </c>
      <c r="M325" s="629">
        <v>0.9</v>
      </c>
      <c r="N325" s="357"/>
      <c r="O325" s="357"/>
      <c r="P325" s="357"/>
      <c r="Q325" s="357"/>
      <c r="R325" s="357"/>
      <c r="S325" s="357"/>
      <c r="T325" s="357"/>
      <c r="U325" s="357"/>
      <c r="V325" s="357"/>
      <c r="W325" s="357"/>
      <c r="X325" s="357"/>
      <c r="Y325" s="357"/>
      <c r="Z325" s="357"/>
      <c r="AA325" s="357"/>
      <c r="AB325" s="357"/>
      <c r="AC325" s="357"/>
      <c r="AD325" s="357"/>
      <c r="AE325" s="357"/>
      <c r="AF325" s="357"/>
      <c r="AG325" s="357"/>
      <c r="AH325" s="357"/>
      <c r="AI325" s="357"/>
      <c r="AJ325" s="357"/>
      <c r="AK325" s="357"/>
      <c r="AL325" s="357"/>
      <c r="AM325" s="357"/>
      <c r="AN325" s="357"/>
      <c r="AO325" s="357"/>
      <c r="AP325" s="357"/>
      <c r="AQ325" s="357"/>
      <c r="AR325" s="357"/>
      <c r="AS325" s="357"/>
      <c r="AT325" s="357"/>
      <c r="AU325" s="357"/>
      <c r="AV325" s="357"/>
      <c r="AW325" s="357"/>
      <c r="AX325" s="357"/>
      <c r="AY325" s="357"/>
      <c r="AZ325" s="357"/>
      <c r="BA325" s="357"/>
      <c r="BB325" s="357"/>
      <c r="BC325" s="357"/>
      <c r="BD325" s="357"/>
    </row>
    <row r="326" spans="1:56" ht="16.5" thickBot="1">
      <c r="G326" s="357"/>
      <c r="H326" s="357"/>
      <c r="I326" s="357"/>
      <c r="J326" s="357"/>
      <c r="K326" s="357"/>
      <c r="L326" s="357"/>
      <c r="M326" s="357"/>
      <c r="N326" s="357"/>
      <c r="O326" s="357"/>
      <c r="P326" s="357"/>
      <c r="Q326" s="357"/>
      <c r="R326" s="357"/>
      <c r="S326" s="357"/>
      <c r="T326" s="357"/>
      <c r="U326" s="357"/>
      <c r="V326" s="357"/>
      <c r="W326" s="357"/>
      <c r="X326" s="357"/>
      <c r="Y326" s="357"/>
      <c r="Z326" s="357"/>
      <c r="AA326" s="357"/>
      <c r="AB326" s="357"/>
      <c r="AC326" s="357"/>
      <c r="AD326" s="357"/>
      <c r="AE326" s="357"/>
      <c r="AF326" s="357"/>
      <c r="AG326" s="357"/>
      <c r="AH326" s="357"/>
      <c r="AI326" s="357"/>
      <c r="AJ326" s="357"/>
      <c r="AK326" s="357"/>
      <c r="AL326" s="357"/>
      <c r="AM326" s="357"/>
      <c r="AN326" s="357"/>
      <c r="AO326" s="357"/>
      <c r="AP326" s="357"/>
      <c r="AQ326" s="357"/>
      <c r="AR326" s="357"/>
      <c r="AS326" s="357"/>
      <c r="AT326" s="357"/>
      <c r="AU326" s="357"/>
      <c r="AV326" s="357"/>
      <c r="AW326" s="357"/>
      <c r="AX326" s="357"/>
      <c r="AY326" s="357"/>
      <c r="AZ326" s="357"/>
      <c r="BA326" s="357"/>
      <c r="BB326" s="357"/>
      <c r="BC326" s="357"/>
      <c r="BD326" s="357"/>
    </row>
    <row r="327" spans="1:56" ht="16.5" thickBot="1">
      <c r="A327" s="622" t="s">
        <v>446</v>
      </c>
      <c r="B327" s="634">
        <v>4.4999999999999998E-2</v>
      </c>
      <c r="C327" s="670" t="s">
        <v>456</v>
      </c>
      <c r="D327" s="671">
        <v>5000</v>
      </c>
      <c r="G327" s="357"/>
      <c r="H327" s="357"/>
      <c r="I327" s="357"/>
      <c r="J327" s="357"/>
      <c r="K327" s="357"/>
      <c r="L327" s="357"/>
      <c r="M327" s="357"/>
      <c r="N327" s="357"/>
      <c r="O327" s="357"/>
      <c r="P327" s="357"/>
      <c r="Q327" s="357"/>
      <c r="R327" s="357"/>
      <c r="S327" s="357"/>
      <c r="T327" s="357"/>
      <c r="U327" s="357"/>
      <c r="V327" s="357"/>
      <c r="W327" s="357"/>
      <c r="X327" s="357"/>
      <c r="Y327" s="357"/>
      <c r="Z327" s="357"/>
      <c r="AA327" s="357"/>
      <c r="AB327" s="357"/>
      <c r="AC327" s="357"/>
      <c r="AD327" s="357"/>
      <c r="AE327" s="357"/>
      <c r="AF327" s="357"/>
      <c r="AG327" s="357"/>
      <c r="AH327" s="357"/>
      <c r="AI327" s="357"/>
      <c r="AJ327" s="357"/>
      <c r="AK327" s="357"/>
      <c r="AL327" s="357"/>
      <c r="AM327" s="357"/>
      <c r="AN327" s="357"/>
      <c r="AO327" s="357"/>
      <c r="AP327" s="357"/>
      <c r="AQ327" s="357"/>
      <c r="AR327" s="357"/>
      <c r="AS327" s="357"/>
      <c r="AT327" s="357"/>
      <c r="AU327" s="357"/>
      <c r="AV327" s="357"/>
      <c r="AW327" s="357"/>
      <c r="AX327" s="357"/>
      <c r="AY327" s="357"/>
      <c r="AZ327" s="357"/>
      <c r="BA327" s="357"/>
      <c r="BB327" s="357"/>
      <c r="BC327" s="357"/>
      <c r="BD327" s="357"/>
    </row>
    <row r="328" spans="1:56" ht="16.5" thickBot="1">
      <c r="A328" s="630" t="s">
        <v>445</v>
      </c>
      <c r="B328" s="633">
        <v>7.4999999999999997E-2</v>
      </c>
      <c r="G328" s="357"/>
      <c r="H328" s="357"/>
      <c r="I328" s="357"/>
      <c r="J328" s="357"/>
      <c r="K328" s="357"/>
      <c r="L328" s="357"/>
      <c r="M328" s="357"/>
      <c r="N328" s="357"/>
      <c r="O328" s="357"/>
      <c r="P328" s="357"/>
      <c r="Q328" s="357"/>
      <c r="R328" s="357"/>
      <c r="S328" s="357"/>
      <c r="T328" s="357"/>
      <c r="U328" s="357"/>
      <c r="V328" s="357"/>
      <c r="W328" s="357"/>
      <c r="X328" s="357"/>
      <c r="Y328" s="357"/>
      <c r="Z328" s="357"/>
      <c r="AA328" s="357"/>
      <c r="AB328" s="357"/>
      <c r="AC328" s="357"/>
      <c r="AD328" s="357"/>
      <c r="AE328" s="357"/>
      <c r="AF328" s="357"/>
      <c r="AG328" s="357"/>
      <c r="AH328" s="357"/>
      <c r="AI328" s="357"/>
      <c r="AJ328" s="357"/>
      <c r="AK328" s="357"/>
      <c r="AL328" s="357"/>
      <c r="AM328" s="357"/>
      <c r="AN328" s="357"/>
      <c r="AO328" s="357"/>
      <c r="AP328" s="357"/>
      <c r="AQ328" s="357"/>
      <c r="AR328" s="357"/>
      <c r="AS328" s="357"/>
      <c r="AT328" s="357"/>
      <c r="AU328" s="357"/>
      <c r="AV328" s="357"/>
      <c r="AW328" s="357"/>
      <c r="AX328" s="357"/>
      <c r="AY328" s="357"/>
      <c r="AZ328" s="357"/>
      <c r="BA328" s="357"/>
      <c r="BB328" s="357"/>
      <c r="BC328" s="357"/>
      <c r="BD328" s="357"/>
    </row>
    <row r="329" spans="1:56" ht="16.5" thickBot="1">
      <c r="G329" s="357"/>
      <c r="H329" s="357"/>
      <c r="I329" s="357"/>
      <c r="J329" s="357"/>
      <c r="K329" s="357"/>
      <c r="L329" s="357"/>
      <c r="M329" s="357"/>
      <c r="N329" s="357"/>
      <c r="O329" s="357"/>
      <c r="P329" s="357"/>
      <c r="Q329" s="357"/>
      <c r="R329" s="357"/>
      <c r="S329" s="357"/>
      <c r="T329" s="357"/>
      <c r="U329" s="357"/>
      <c r="V329" s="357"/>
      <c r="W329" s="357"/>
      <c r="X329" s="357"/>
      <c r="Y329" s="357"/>
      <c r="Z329" s="357"/>
      <c r="AA329" s="357"/>
      <c r="AB329" s="357"/>
      <c r="AC329" s="357"/>
      <c r="AD329" s="357"/>
      <c r="AE329" s="357"/>
      <c r="AF329" s="357"/>
      <c r="AG329" s="357"/>
      <c r="AH329" s="357"/>
      <c r="AI329" s="357"/>
      <c r="AJ329" s="357"/>
      <c r="AK329" s="357"/>
      <c r="AL329" s="357"/>
      <c r="AM329" s="357"/>
      <c r="AN329" s="357"/>
      <c r="AO329" s="357"/>
      <c r="AP329" s="357"/>
      <c r="AQ329" s="357"/>
      <c r="AR329" s="357"/>
      <c r="AS329" s="357"/>
      <c r="AT329" s="357"/>
      <c r="AU329" s="357"/>
      <c r="AV329" s="357"/>
      <c r="AW329" s="357"/>
      <c r="AX329" s="357"/>
      <c r="AY329" s="357"/>
      <c r="AZ329" s="357"/>
      <c r="BA329" s="357"/>
      <c r="BB329" s="357"/>
      <c r="BC329" s="357"/>
      <c r="BD329" s="357"/>
    </row>
    <row r="330" spans="1:56" ht="16.5" thickBot="1">
      <c r="A330" s="622" t="s">
        <v>447</v>
      </c>
      <c r="B330" s="623">
        <v>44652</v>
      </c>
      <c r="C330" s="624">
        <v>44682</v>
      </c>
      <c r="D330" s="623">
        <v>44713</v>
      </c>
      <c r="E330" s="624">
        <v>44743</v>
      </c>
      <c r="F330" s="623">
        <v>44774</v>
      </c>
      <c r="G330" s="624">
        <v>44805</v>
      </c>
      <c r="H330" s="623">
        <v>44835</v>
      </c>
      <c r="I330" s="624">
        <v>44866</v>
      </c>
      <c r="J330" s="623">
        <v>44896</v>
      </c>
      <c r="K330" s="624">
        <v>44927</v>
      </c>
      <c r="L330" s="623">
        <v>44958</v>
      </c>
      <c r="M330" s="625">
        <v>44986</v>
      </c>
      <c r="N330" s="357"/>
      <c r="O330" s="357"/>
      <c r="P330" s="357"/>
      <c r="Q330" s="357"/>
      <c r="R330" s="357"/>
      <c r="S330" s="357"/>
      <c r="T330" s="357"/>
      <c r="U330" s="357"/>
      <c r="V330" s="357"/>
      <c r="W330" s="357"/>
      <c r="X330" s="357"/>
      <c r="Y330" s="357"/>
      <c r="Z330" s="357"/>
      <c r="AA330" s="357"/>
      <c r="AB330" s="357"/>
      <c r="AC330" s="357"/>
      <c r="AD330" s="357"/>
      <c r="AE330" s="357"/>
      <c r="AF330" s="357"/>
      <c r="AG330" s="357"/>
      <c r="AH330" s="357"/>
      <c r="AI330" s="357"/>
      <c r="AJ330" s="357"/>
      <c r="AK330" s="357"/>
      <c r="AL330" s="357"/>
      <c r="AM330" s="357"/>
      <c r="AN330" s="357"/>
      <c r="AO330" s="357"/>
      <c r="AP330" s="357"/>
      <c r="AQ330" s="357"/>
      <c r="AR330" s="357"/>
      <c r="AS330" s="357"/>
      <c r="AT330" s="357"/>
      <c r="AU330" s="357"/>
      <c r="AV330" s="357"/>
      <c r="AW330" s="357"/>
      <c r="AX330" s="357"/>
      <c r="AY330" s="357"/>
      <c r="AZ330" s="357"/>
      <c r="BA330" s="357"/>
      <c r="BB330" s="357"/>
      <c r="BC330" s="357"/>
      <c r="BD330" s="357"/>
    </row>
    <row r="331" spans="1:56">
      <c r="A331" s="621" t="s">
        <v>243</v>
      </c>
      <c r="B331" s="626">
        <v>0.9</v>
      </c>
      <c r="C331" s="626">
        <v>0.9</v>
      </c>
      <c r="D331" s="626">
        <v>0.9</v>
      </c>
      <c r="E331" s="626">
        <v>0.9</v>
      </c>
      <c r="F331" s="626">
        <v>0.9</v>
      </c>
      <c r="G331" s="626">
        <v>0.9</v>
      </c>
      <c r="H331" s="626">
        <v>0.9</v>
      </c>
      <c r="I331" s="626">
        <v>0.9</v>
      </c>
      <c r="J331" s="626">
        <v>0.9</v>
      </c>
      <c r="K331" s="626">
        <v>0.9</v>
      </c>
      <c r="L331" s="626">
        <v>0.9</v>
      </c>
      <c r="M331" s="627">
        <v>0.9</v>
      </c>
      <c r="N331" s="357"/>
      <c r="O331" s="357"/>
      <c r="P331" s="357"/>
      <c r="Q331" s="357"/>
      <c r="R331" s="357"/>
      <c r="S331" s="357"/>
      <c r="T331" s="357"/>
      <c r="U331" s="357"/>
      <c r="V331" s="357"/>
      <c r="W331" s="357"/>
      <c r="X331" s="357"/>
      <c r="Y331" s="357"/>
      <c r="Z331" s="357"/>
      <c r="AA331" s="357"/>
      <c r="AB331" s="357"/>
      <c r="AC331" s="357"/>
      <c r="AD331" s="357"/>
      <c r="AE331" s="357"/>
      <c r="AF331" s="357"/>
      <c r="AG331" s="357"/>
      <c r="AH331" s="357"/>
      <c r="AI331" s="357"/>
      <c r="AJ331" s="357"/>
      <c r="AK331" s="357"/>
      <c r="AL331" s="357"/>
      <c r="AM331" s="357"/>
      <c r="AN331" s="357"/>
      <c r="AO331" s="357"/>
      <c r="AP331" s="357"/>
      <c r="AQ331" s="357"/>
      <c r="AR331" s="357"/>
      <c r="AS331" s="357"/>
      <c r="AT331" s="357"/>
      <c r="AU331" s="357"/>
      <c r="AV331" s="357"/>
      <c r="AW331" s="357"/>
      <c r="AX331" s="357"/>
      <c r="AY331" s="357"/>
      <c r="AZ331" s="357"/>
      <c r="BA331" s="357"/>
      <c r="BB331" s="357"/>
      <c r="BC331" s="357"/>
      <c r="BD331" s="357"/>
    </row>
    <row r="332" spans="1:56">
      <c r="A332" s="320" t="s">
        <v>244</v>
      </c>
      <c r="B332" s="347">
        <v>0.9</v>
      </c>
      <c r="C332" s="347">
        <v>0.9</v>
      </c>
      <c r="D332" s="347">
        <v>0.9</v>
      </c>
      <c r="E332" s="347">
        <v>0.9</v>
      </c>
      <c r="F332" s="347">
        <v>0.9</v>
      </c>
      <c r="G332" s="347">
        <v>0.9</v>
      </c>
      <c r="H332" s="347">
        <v>0.9</v>
      </c>
      <c r="I332" s="347">
        <v>0.9</v>
      </c>
      <c r="J332" s="347">
        <v>0.9</v>
      </c>
      <c r="K332" s="347">
        <v>0.9</v>
      </c>
      <c r="L332" s="347">
        <v>0.9</v>
      </c>
      <c r="M332" s="348">
        <v>0.9</v>
      </c>
      <c r="N332" s="357"/>
      <c r="O332" s="357"/>
      <c r="P332" s="357"/>
      <c r="Q332" s="357"/>
      <c r="R332" s="357"/>
      <c r="S332" s="357"/>
      <c r="T332" s="357"/>
      <c r="U332" s="357"/>
      <c r="V332" s="357"/>
      <c r="W332" s="357"/>
      <c r="X332" s="357"/>
      <c r="Y332" s="357"/>
      <c r="Z332" s="357"/>
      <c r="AA332" s="357"/>
      <c r="AB332" s="357"/>
      <c r="AC332" s="357"/>
      <c r="AD332" s="357"/>
      <c r="AE332" s="357"/>
      <c r="AF332" s="357"/>
      <c r="AG332" s="357"/>
      <c r="AH332" s="357"/>
      <c r="AI332" s="357"/>
      <c r="AJ332" s="357"/>
      <c r="AK332" s="357"/>
      <c r="AL332" s="357"/>
      <c r="AM332" s="357"/>
      <c r="AN332" s="357"/>
      <c r="AO332" s="357"/>
      <c r="AP332" s="357"/>
      <c r="AQ332" s="357"/>
      <c r="AR332" s="357"/>
      <c r="AS332" s="357"/>
      <c r="AT332" s="357"/>
      <c r="AU332" s="357"/>
      <c r="AV332" s="357"/>
      <c r="AW332" s="357"/>
      <c r="AX332" s="357"/>
      <c r="AY332" s="357"/>
      <c r="AZ332" s="357"/>
      <c r="BA332" s="357"/>
      <c r="BB332" s="357"/>
      <c r="BC332" s="357"/>
      <c r="BD332" s="357"/>
    </row>
    <row r="333" spans="1:56">
      <c r="A333" s="320" t="s">
        <v>245</v>
      </c>
      <c r="B333" s="347">
        <v>0.9</v>
      </c>
      <c r="C333" s="347">
        <v>0.9</v>
      </c>
      <c r="D333" s="347">
        <v>0.9</v>
      </c>
      <c r="E333" s="347">
        <v>0.9</v>
      </c>
      <c r="F333" s="347">
        <v>0.9</v>
      </c>
      <c r="G333" s="347">
        <v>0.9</v>
      </c>
      <c r="H333" s="347">
        <v>0.9</v>
      </c>
      <c r="I333" s="347">
        <v>0.9</v>
      </c>
      <c r="J333" s="347">
        <v>0.9</v>
      </c>
      <c r="K333" s="347">
        <v>0.9</v>
      </c>
      <c r="L333" s="347">
        <v>0.9</v>
      </c>
      <c r="M333" s="348">
        <v>0.9</v>
      </c>
      <c r="N333" s="357"/>
      <c r="O333" s="357"/>
      <c r="P333" s="357"/>
      <c r="Q333" s="357"/>
      <c r="R333" s="357"/>
      <c r="S333" s="357"/>
      <c r="T333" s="357"/>
      <c r="U333" s="357"/>
      <c r="V333" s="357"/>
      <c r="W333" s="357"/>
      <c r="X333" s="357"/>
      <c r="Y333" s="357"/>
      <c r="Z333" s="357"/>
      <c r="AA333" s="357"/>
      <c r="AB333" s="357"/>
      <c r="AC333" s="357"/>
      <c r="AD333" s="357"/>
      <c r="AE333" s="357"/>
      <c r="AF333" s="357"/>
      <c r="AG333" s="357"/>
      <c r="AH333" s="357"/>
      <c r="AI333" s="357"/>
      <c r="AJ333" s="357"/>
      <c r="AK333" s="357"/>
      <c r="AL333" s="357"/>
      <c r="AM333" s="357"/>
      <c r="AN333" s="357"/>
      <c r="AO333" s="357"/>
      <c r="AP333" s="357"/>
      <c r="AQ333" s="357"/>
      <c r="AR333" s="357"/>
      <c r="AS333" s="357"/>
      <c r="AT333" s="357"/>
      <c r="AU333" s="357"/>
      <c r="AV333" s="357"/>
      <c r="AW333" s="357"/>
      <c r="AX333" s="357"/>
      <c r="AY333" s="357"/>
      <c r="AZ333" s="357"/>
      <c r="BA333" s="357"/>
      <c r="BB333" s="357"/>
      <c r="BC333" s="357"/>
      <c r="BD333" s="357"/>
    </row>
    <row r="334" spans="1:56">
      <c r="A334" s="320" t="s">
        <v>246</v>
      </c>
      <c r="B334" s="347">
        <v>0.9</v>
      </c>
      <c r="C334" s="347">
        <v>0.9</v>
      </c>
      <c r="D334" s="347">
        <v>0.9</v>
      </c>
      <c r="E334" s="347">
        <v>0.9</v>
      </c>
      <c r="F334" s="347">
        <v>0.9</v>
      </c>
      <c r="G334" s="347">
        <v>0.9</v>
      </c>
      <c r="H334" s="347">
        <v>0.9</v>
      </c>
      <c r="I334" s="347">
        <v>0.9</v>
      </c>
      <c r="J334" s="347">
        <v>0.9</v>
      </c>
      <c r="K334" s="347">
        <v>0.9</v>
      </c>
      <c r="L334" s="347">
        <v>0.9</v>
      </c>
      <c r="M334" s="348">
        <v>0.9</v>
      </c>
      <c r="N334" s="357"/>
      <c r="O334" s="357"/>
      <c r="P334" s="357"/>
      <c r="Q334" s="357"/>
      <c r="R334" s="357"/>
      <c r="S334" s="357"/>
      <c r="T334" s="357"/>
      <c r="U334" s="357"/>
      <c r="V334" s="357"/>
      <c r="W334" s="357"/>
      <c r="X334" s="357"/>
      <c r="Y334" s="357"/>
      <c r="Z334" s="357"/>
      <c r="AA334" s="357"/>
      <c r="AB334" s="357"/>
      <c r="AC334" s="357"/>
      <c r="AD334" s="357"/>
      <c r="AE334" s="357"/>
      <c r="AF334" s="357"/>
      <c r="AG334" s="357"/>
      <c r="AH334" s="357"/>
      <c r="AI334" s="357"/>
      <c r="AJ334" s="357"/>
      <c r="AK334" s="357"/>
      <c r="AL334" s="357"/>
      <c r="AM334" s="357"/>
      <c r="AN334" s="357"/>
      <c r="AO334" s="357"/>
      <c r="AP334" s="357"/>
      <c r="AQ334" s="357"/>
      <c r="AR334" s="357"/>
      <c r="AS334" s="357"/>
      <c r="AT334" s="357"/>
      <c r="AU334" s="357"/>
      <c r="AV334" s="357"/>
      <c r="AW334" s="357"/>
      <c r="AX334" s="357"/>
      <c r="AY334" s="357"/>
      <c r="AZ334" s="357"/>
      <c r="BA334" s="357"/>
      <c r="BB334" s="357"/>
      <c r="BC334" s="357"/>
      <c r="BD334" s="357"/>
    </row>
    <row r="335" spans="1:56" ht="16.5" thickBot="1">
      <c r="A335" s="371" t="s">
        <v>247</v>
      </c>
      <c r="B335" s="628">
        <v>0.9</v>
      </c>
      <c r="C335" s="628">
        <v>0.9</v>
      </c>
      <c r="D335" s="628">
        <v>0.9</v>
      </c>
      <c r="E335" s="628">
        <v>0.9</v>
      </c>
      <c r="F335" s="628">
        <v>0.9</v>
      </c>
      <c r="G335" s="628">
        <v>0.9</v>
      </c>
      <c r="H335" s="628">
        <v>0.9</v>
      </c>
      <c r="I335" s="628">
        <v>0.9</v>
      </c>
      <c r="J335" s="628">
        <v>0.9</v>
      </c>
      <c r="K335" s="628">
        <v>0.9</v>
      </c>
      <c r="L335" s="628">
        <v>0.9</v>
      </c>
      <c r="M335" s="629">
        <v>0.9</v>
      </c>
      <c r="N335" s="357"/>
      <c r="O335" s="357"/>
      <c r="P335" s="357"/>
      <c r="Q335" s="357"/>
      <c r="R335" s="357"/>
      <c r="S335" s="357"/>
      <c r="T335" s="357"/>
      <c r="U335" s="357"/>
      <c r="V335" s="357"/>
      <c r="W335" s="357"/>
      <c r="X335" s="357"/>
      <c r="Y335" s="357"/>
      <c r="Z335" s="357"/>
      <c r="AA335" s="357"/>
      <c r="AB335" s="357"/>
      <c r="AC335" s="357"/>
      <c r="AD335" s="357"/>
      <c r="AE335" s="357"/>
      <c r="AF335" s="357"/>
      <c r="AG335" s="357"/>
      <c r="AH335" s="357"/>
      <c r="AI335" s="357"/>
      <c r="AJ335" s="357"/>
      <c r="AK335" s="357"/>
      <c r="AL335" s="357"/>
      <c r="AM335" s="357"/>
      <c r="AN335" s="357"/>
      <c r="AO335" s="357"/>
      <c r="AP335" s="357"/>
      <c r="AQ335" s="357"/>
      <c r="AR335" s="357"/>
      <c r="AS335" s="357"/>
      <c r="AT335" s="357"/>
      <c r="AU335" s="357"/>
      <c r="AV335" s="357"/>
      <c r="AW335" s="357"/>
      <c r="AX335" s="357"/>
      <c r="AY335" s="357"/>
      <c r="AZ335" s="357"/>
      <c r="BA335" s="357"/>
      <c r="BB335" s="357"/>
      <c r="BC335" s="357"/>
      <c r="BD335" s="357"/>
    </row>
    <row r="336" spans="1:56" ht="16.5" thickBot="1">
      <c r="G336" s="357"/>
      <c r="H336" s="357"/>
      <c r="I336" s="357"/>
      <c r="J336" s="357"/>
      <c r="K336" s="357"/>
      <c r="L336" s="357"/>
      <c r="M336" s="357"/>
      <c r="N336" s="357"/>
      <c r="O336" s="357"/>
      <c r="P336" s="357"/>
      <c r="Q336" s="357"/>
      <c r="R336" s="357"/>
      <c r="S336" s="357"/>
      <c r="T336" s="357"/>
      <c r="U336" s="357"/>
      <c r="V336" s="357"/>
      <c r="W336" s="357"/>
      <c r="X336" s="357"/>
      <c r="Y336" s="357"/>
      <c r="Z336" s="357"/>
      <c r="AA336" s="357"/>
      <c r="AB336" s="357"/>
      <c r="AC336" s="357"/>
      <c r="AD336" s="357"/>
      <c r="AE336" s="357"/>
      <c r="AF336" s="357"/>
      <c r="AG336" s="357"/>
      <c r="AH336" s="357"/>
      <c r="AI336" s="357"/>
      <c r="AJ336" s="357"/>
      <c r="AK336" s="357"/>
      <c r="AL336" s="357"/>
      <c r="AM336" s="357"/>
      <c r="AN336" s="357"/>
      <c r="AO336" s="357"/>
      <c r="AP336" s="357"/>
      <c r="AQ336" s="357"/>
      <c r="AR336" s="357"/>
      <c r="AS336" s="357"/>
      <c r="AT336" s="357"/>
      <c r="AU336" s="357"/>
      <c r="AV336" s="357"/>
      <c r="AW336" s="357"/>
      <c r="AX336" s="357"/>
      <c r="AY336" s="357"/>
      <c r="AZ336" s="357"/>
      <c r="BA336" s="357"/>
      <c r="BB336" s="357"/>
      <c r="BC336" s="357"/>
      <c r="BD336" s="357"/>
    </row>
    <row r="337" spans="1:56" ht="16.5" thickBot="1">
      <c r="A337" s="622" t="s">
        <v>448</v>
      </c>
      <c r="B337" s="631" t="s">
        <v>449</v>
      </c>
      <c r="C337" s="632" t="s">
        <v>450</v>
      </c>
      <c r="G337" s="357"/>
      <c r="H337" s="357"/>
      <c r="I337" s="357"/>
      <c r="J337" s="357"/>
      <c r="K337" s="357"/>
      <c r="L337" s="357"/>
      <c r="M337" s="357"/>
      <c r="N337" s="357"/>
      <c r="O337" s="357"/>
      <c r="P337" s="357"/>
      <c r="Q337" s="357"/>
      <c r="R337" s="357"/>
      <c r="S337" s="357"/>
      <c r="T337" s="357"/>
      <c r="U337" s="357"/>
      <c r="V337" s="357"/>
      <c r="W337" s="357"/>
      <c r="X337" s="357"/>
      <c r="Y337" s="357"/>
      <c r="Z337" s="357"/>
      <c r="AA337" s="357"/>
      <c r="AB337" s="357"/>
      <c r="AC337" s="357"/>
      <c r="AD337" s="357"/>
      <c r="AE337" s="357"/>
      <c r="AF337" s="357"/>
      <c r="AG337" s="357"/>
      <c r="AH337" s="357"/>
      <c r="AI337" s="357"/>
      <c r="AJ337" s="357"/>
      <c r="AK337" s="357"/>
      <c r="AL337" s="357"/>
      <c r="AM337" s="357"/>
      <c r="AN337" s="357"/>
      <c r="AO337" s="357"/>
      <c r="AP337" s="357"/>
      <c r="AQ337" s="357"/>
      <c r="AR337" s="357"/>
      <c r="AS337" s="357"/>
      <c r="AT337" s="357"/>
      <c r="AU337" s="357"/>
      <c r="AV337" s="357"/>
      <c r="AW337" s="357"/>
      <c r="AX337" s="357"/>
      <c r="AY337" s="357"/>
      <c r="AZ337" s="357"/>
      <c r="BA337" s="357"/>
      <c r="BB337" s="357"/>
      <c r="BC337" s="357"/>
      <c r="BD337" s="357"/>
    </row>
    <row r="338" spans="1:56">
      <c r="A338" s="621" t="s">
        <v>42</v>
      </c>
      <c r="B338" s="626">
        <v>0.1</v>
      </c>
      <c r="C338" s="337">
        <v>45000</v>
      </c>
      <c r="G338" s="357"/>
      <c r="J338" s="357"/>
      <c r="K338" s="357"/>
      <c r="L338" s="357"/>
      <c r="M338" s="357"/>
      <c r="N338" s="357"/>
      <c r="O338" s="357"/>
      <c r="P338" s="357"/>
      <c r="Q338" s="357"/>
      <c r="R338" s="357"/>
      <c r="S338" s="357"/>
      <c r="T338" s="357"/>
      <c r="U338" s="357"/>
      <c r="V338" s="357"/>
      <c r="W338" s="357"/>
      <c r="X338" s="357"/>
      <c r="Y338" s="357"/>
      <c r="Z338" s="357"/>
      <c r="AA338" s="357"/>
      <c r="AB338" s="357"/>
      <c r="AC338" s="357"/>
      <c r="AD338" s="357"/>
      <c r="AE338" s="357"/>
      <c r="AF338" s="357"/>
      <c r="AG338" s="357"/>
      <c r="AH338" s="357"/>
      <c r="AI338" s="357"/>
      <c r="AJ338" s="357"/>
      <c r="AK338" s="357"/>
      <c r="AL338" s="357"/>
      <c r="AM338" s="357"/>
      <c r="AN338" s="357"/>
      <c r="AO338" s="357"/>
      <c r="AP338" s="357"/>
      <c r="AQ338" s="357"/>
      <c r="AR338" s="357"/>
      <c r="AS338" s="357"/>
      <c r="AT338" s="357"/>
      <c r="AU338" s="357"/>
      <c r="AV338" s="357"/>
      <c r="AW338" s="357"/>
      <c r="AX338" s="357"/>
      <c r="AY338" s="357"/>
      <c r="AZ338" s="357"/>
      <c r="BA338" s="357"/>
      <c r="BB338" s="357"/>
      <c r="BC338" s="357"/>
      <c r="BD338" s="357"/>
    </row>
    <row r="339" spans="1:56">
      <c r="A339" s="320" t="s">
        <v>43</v>
      </c>
      <c r="B339" s="347">
        <v>0.2</v>
      </c>
      <c r="C339" s="319">
        <v>25000</v>
      </c>
      <c r="G339" s="357"/>
      <c r="J339" s="357"/>
      <c r="K339" s="357"/>
      <c r="L339" s="357"/>
      <c r="M339" s="357"/>
      <c r="N339" s="357"/>
      <c r="O339" s="357"/>
      <c r="P339" s="357"/>
      <c r="Q339" s="357"/>
      <c r="R339" s="357"/>
      <c r="S339" s="357"/>
      <c r="T339" s="357"/>
      <c r="U339" s="357"/>
      <c r="V339" s="357"/>
      <c r="W339" s="357"/>
      <c r="X339" s="357"/>
      <c r="Y339" s="357"/>
      <c r="Z339" s="357"/>
      <c r="AA339" s="357"/>
      <c r="AB339" s="357"/>
      <c r="AC339" s="357"/>
      <c r="AD339" s="357"/>
      <c r="AE339" s="357"/>
      <c r="AF339" s="357"/>
      <c r="AG339" s="357"/>
      <c r="AH339" s="357"/>
      <c r="AI339" s="357"/>
      <c r="AJ339" s="357"/>
      <c r="AK339" s="357"/>
      <c r="AL339" s="357"/>
      <c r="AM339" s="357"/>
      <c r="AN339" s="357"/>
      <c r="AO339" s="357"/>
      <c r="AP339" s="357"/>
      <c r="AQ339" s="357"/>
      <c r="AR339" s="357"/>
      <c r="AS339" s="357"/>
      <c r="AT339" s="357"/>
      <c r="AU339" s="357"/>
      <c r="AV339" s="357"/>
      <c r="AW339" s="357"/>
      <c r="AX339" s="357"/>
      <c r="AY339" s="357"/>
      <c r="AZ339" s="357"/>
      <c r="BA339" s="357"/>
      <c r="BB339" s="357"/>
      <c r="BC339" s="357"/>
      <c r="BD339" s="357"/>
    </row>
    <row r="340" spans="1:56">
      <c r="A340" s="320" t="s">
        <v>44</v>
      </c>
      <c r="B340" s="347">
        <v>0.33333333333333331</v>
      </c>
      <c r="C340" s="319">
        <v>15000</v>
      </c>
      <c r="G340" s="357"/>
      <c r="J340" s="357"/>
      <c r="K340" s="357"/>
      <c r="L340" s="357"/>
      <c r="M340" s="357"/>
      <c r="N340" s="357"/>
      <c r="O340" s="357"/>
      <c r="P340" s="357"/>
      <c r="Q340" s="357"/>
      <c r="R340" s="357"/>
      <c r="S340" s="357"/>
      <c r="T340" s="357"/>
      <c r="U340" s="357"/>
      <c r="V340" s="357"/>
      <c r="W340" s="357"/>
      <c r="X340" s="357"/>
      <c r="Y340" s="357"/>
      <c r="Z340" s="357"/>
      <c r="AA340" s="357"/>
      <c r="AB340" s="357"/>
      <c r="AC340" s="357"/>
      <c r="AD340" s="357"/>
      <c r="AE340" s="357"/>
      <c r="AF340" s="357"/>
      <c r="AG340" s="357"/>
      <c r="AH340" s="357"/>
      <c r="AI340" s="357"/>
      <c r="AJ340" s="357"/>
      <c r="AK340" s="357"/>
      <c r="AL340" s="357"/>
      <c r="AM340" s="357"/>
      <c r="AN340" s="357"/>
      <c r="AO340" s="357"/>
      <c r="AP340" s="357"/>
      <c r="AQ340" s="357"/>
      <c r="AR340" s="357"/>
      <c r="AS340" s="357"/>
      <c r="AT340" s="357"/>
      <c r="AU340" s="357"/>
      <c r="AV340" s="357"/>
      <c r="AW340" s="357"/>
      <c r="AX340" s="357"/>
      <c r="AY340" s="357"/>
      <c r="AZ340" s="357"/>
      <c r="BA340" s="357"/>
      <c r="BB340" s="357"/>
      <c r="BC340" s="357"/>
      <c r="BD340" s="357"/>
    </row>
    <row r="341" spans="1:56" ht="16.5" thickBot="1">
      <c r="A341" s="371" t="s">
        <v>45</v>
      </c>
      <c r="B341" s="628">
        <v>0.33333333333333331</v>
      </c>
      <c r="C341" s="620">
        <v>5000</v>
      </c>
      <c r="G341" s="357"/>
      <c r="J341" s="357"/>
      <c r="K341" s="357"/>
      <c r="L341" s="357"/>
      <c r="M341" s="357"/>
      <c r="N341" s="357"/>
      <c r="O341" s="357"/>
      <c r="P341" s="357"/>
      <c r="Q341" s="357"/>
      <c r="R341" s="357"/>
      <c r="S341" s="357"/>
      <c r="T341" s="357"/>
      <c r="U341" s="357"/>
      <c r="V341" s="357"/>
      <c r="W341" s="357"/>
      <c r="X341" s="357"/>
      <c r="Y341" s="357"/>
      <c r="Z341" s="357"/>
      <c r="AA341" s="357"/>
      <c r="AB341" s="357"/>
      <c r="AC341" s="357"/>
      <c r="AD341" s="357"/>
      <c r="AE341" s="357"/>
      <c r="AF341" s="357"/>
      <c r="AG341" s="357"/>
      <c r="AH341" s="357"/>
      <c r="AI341" s="357"/>
      <c r="AJ341" s="357"/>
      <c r="AK341" s="357"/>
      <c r="AL341" s="357"/>
      <c r="AM341" s="357"/>
      <c r="AN341" s="357"/>
      <c r="AO341" s="357"/>
      <c r="AP341" s="357"/>
      <c r="AQ341" s="357"/>
      <c r="AR341" s="357"/>
      <c r="AS341" s="357"/>
      <c r="AT341" s="357"/>
      <c r="AU341" s="357"/>
      <c r="AV341" s="357"/>
      <c r="AW341" s="357"/>
      <c r="AX341" s="357"/>
      <c r="AY341" s="357"/>
      <c r="AZ341" s="357"/>
      <c r="BA341" s="357"/>
      <c r="BB341" s="357"/>
      <c r="BC341" s="357"/>
      <c r="BD341" s="357"/>
    </row>
    <row r="342" spans="1:56">
      <c r="G342" s="357"/>
      <c r="H342" s="357"/>
      <c r="I342" s="357"/>
      <c r="J342" s="357"/>
      <c r="K342" s="357"/>
      <c r="L342" s="357"/>
      <c r="M342" s="357"/>
      <c r="N342" s="357"/>
      <c r="O342" s="357"/>
      <c r="P342" s="357"/>
      <c r="Q342" s="357"/>
      <c r="R342" s="357"/>
      <c r="S342" s="357"/>
      <c r="T342" s="357"/>
      <c r="U342" s="357"/>
      <c r="V342" s="357"/>
      <c r="W342" s="357"/>
      <c r="X342" s="357"/>
      <c r="Y342" s="357"/>
      <c r="Z342" s="357"/>
      <c r="AA342" s="357"/>
      <c r="AB342" s="357"/>
      <c r="AC342" s="357"/>
      <c r="AD342" s="357"/>
      <c r="AE342" s="357"/>
      <c r="AF342" s="357"/>
      <c r="AG342" s="357"/>
      <c r="AH342" s="357"/>
      <c r="AI342" s="357"/>
      <c r="AJ342" s="357"/>
      <c r="AK342" s="357"/>
      <c r="AL342" s="357"/>
      <c r="AM342" s="357"/>
      <c r="AN342" s="357"/>
      <c r="AO342" s="357"/>
      <c r="AP342" s="357"/>
      <c r="AQ342" s="357"/>
      <c r="AR342" s="357"/>
      <c r="AS342" s="357"/>
      <c r="AT342" s="357"/>
      <c r="AU342" s="357"/>
      <c r="AV342" s="357"/>
      <c r="AW342" s="357"/>
      <c r="AX342" s="357"/>
      <c r="AY342" s="357"/>
      <c r="AZ342" s="357"/>
      <c r="BA342" s="357"/>
      <c r="BB342" s="357"/>
      <c r="BC342" s="357"/>
      <c r="BD342" s="357"/>
    </row>
    <row r="343" spans="1:56">
      <c r="G343" s="357"/>
      <c r="H343" s="357"/>
      <c r="I343" s="357"/>
      <c r="J343" s="357"/>
      <c r="K343" s="357"/>
      <c r="L343" s="357"/>
      <c r="M343" s="357"/>
      <c r="N343" s="357"/>
      <c r="O343" s="357"/>
      <c r="P343" s="357"/>
      <c r="Q343" s="357"/>
      <c r="R343" s="357"/>
      <c r="S343" s="357"/>
      <c r="T343" s="357"/>
      <c r="U343" s="357"/>
      <c r="V343" s="357"/>
      <c r="W343" s="357"/>
      <c r="X343" s="357"/>
      <c r="Y343" s="357"/>
      <c r="Z343" s="357"/>
      <c r="AA343" s="357"/>
      <c r="AB343" s="357"/>
      <c r="AC343" s="357"/>
      <c r="AD343" s="357"/>
      <c r="AE343" s="357"/>
      <c r="AF343" s="357"/>
      <c r="AG343" s="357"/>
      <c r="AH343" s="357"/>
      <c r="AI343" s="357"/>
      <c r="AJ343" s="357"/>
      <c r="AK343" s="357"/>
      <c r="AL343" s="357"/>
      <c r="AM343" s="357"/>
      <c r="AN343" s="357"/>
      <c r="AO343" s="357"/>
      <c r="AP343" s="357"/>
      <c r="AQ343" s="357"/>
      <c r="AR343" s="357"/>
      <c r="AS343" s="357"/>
      <c r="AT343" s="357"/>
      <c r="AU343" s="357"/>
      <c r="AV343" s="357"/>
      <c r="AW343" s="357"/>
      <c r="AX343" s="357"/>
      <c r="AY343" s="357"/>
      <c r="AZ343" s="357"/>
      <c r="BA343" s="357"/>
      <c r="BB343" s="357"/>
      <c r="BC343" s="357"/>
      <c r="BD343" s="357"/>
    </row>
    <row r="344" spans="1:56" s="352" customFormat="1" ht="16.5" thickBot="1">
      <c r="B344" s="686"/>
      <c r="C344" s="686"/>
      <c r="D344" s="686"/>
      <c r="E344" s="686"/>
      <c r="F344" s="686"/>
      <c r="G344" s="686"/>
      <c r="H344" s="686"/>
      <c r="I344" s="687"/>
      <c r="J344" s="687"/>
      <c r="K344" s="687"/>
      <c r="L344" s="687"/>
      <c r="M344" s="687"/>
      <c r="N344" s="687"/>
      <c r="O344" s="687"/>
      <c r="P344" s="687"/>
      <c r="Q344" s="687"/>
      <c r="R344" s="687"/>
      <c r="S344" s="687"/>
      <c r="T344" s="687"/>
      <c r="U344" s="687"/>
    </row>
    <row r="345" spans="1:56" ht="16.5" thickBot="1">
      <c r="A345" s="692" t="s">
        <v>461</v>
      </c>
      <c r="B345" s="693">
        <v>44652</v>
      </c>
      <c r="C345" s="694">
        <v>44682</v>
      </c>
      <c r="D345" s="695">
        <v>44713</v>
      </c>
      <c r="E345" s="694">
        <v>44743</v>
      </c>
      <c r="F345" s="695">
        <v>44774</v>
      </c>
      <c r="G345" s="694">
        <v>44805</v>
      </c>
      <c r="H345" s="695">
        <v>44835</v>
      </c>
      <c r="I345" s="694">
        <v>44866</v>
      </c>
      <c r="J345" s="695">
        <v>44896</v>
      </c>
      <c r="K345" s="694">
        <v>44927</v>
      </c>
      <c r="L345" s="695">
        <v>44958</v>
      </c>
      <c r="M345" s="696">
        <v>44986</v>
      </c>
      <c r="V345" s="357"/>
      <c r="W345" s="357"/>
      <c r="X345" s="357"/>
      <c r="Y345" s="357"/>
      <c r="Z345" s="357"/>
      <c r="AA345" s="357"/>
      <c r="AB345" s="357"/>
      <c r="AC345" s="357"/>
      <c r="AD345" s="357"/>
      <c r="AE345" s="357"/>
      <c r="AF345" s="357"/>
      <c r="AG345" s="357"/>
      <c r="AH345" s="357"/>
      <c r="AI345" s="357"/>
      <c r="AJ345" s="357"/>
      <c r="AK345" s="357"/>
      <c r="AL345" s="357"/>
      <c r="AM345" s="357"/>
      <c r="AN345" s="357"/>
      <c r="AO345" s="357"/>
      <c r="AP345" s="357"/>
      <c r="AQ345" s="357"/>
      <c r="AR345" s="357"/>
      <c r="AS345" s="357"/>
      <c r="AT345" s="357"/>
      <c r="AU345" s="357"/>
      <c r="AV345" s="357"/>
      <c r="AW345" s="357"/>
      <c r="AX345" s="357"/>
      <c r="AY345" s="357"/>
      <c r="AZ345" s="357"/>
      <c r="BA345" s="357"/>
      <c r="BB345" s="357"/>
      <c r="BC345" s="357"/>
      <c r="BD345" s="357"/>
    </row>
    <row r="346" spans="1:56">
      <c r="A346" s="697" t="s">
        <v>42</v>
      </c>
      <c r="B346" s="698"/>
      <c r="C346" s="698"/>
      <c r="D346" s="698"/>
      <c r="E346" s="698"/>
      <c r="F346" s="698"/>
      <c r="G346" s="698"/>
      <c r="H346" s="698"/>
      <c r="I346" s="698"/>
      <c r="J346" s="698"/>
      <c r="K346" s="698"/>
      <c r="L346" s="699"/>
      <c r="M346" s="700"/>
      <c r="V346" s="357"/>
      <c r="W346" s="357"/>
      <c r="X346" s="357"/>
      <c r="Y346" s="357"/>
      <c r="Z346" s="357"/>
      <c r="AA346" s="357"/>
      <c r="AB346" s="357"/>
      <c r="AC346" s="357"/>
      <c r="AD346" s="357"/>
      <c r="AE346" s="357"/>
      <c r="AF346" s="357"/>
      <c r="AG346" s="357"/>
      <c r="AH346" s="357"/>
      <c r="AI346" s="357"/>
      <c r="AJ346" s="357"/>
      <c r="AK346" s="357"/>
      <c r="AL346" s="357"/>
      <c r="AM346" s="357"/>
      <c r="AN346" s="357"/>
      <c r="AO346" s="357"/>
      <c r="AP346" s="357"/>
      <c r="AQ346" s="357"/>
      <c r="AR346" s="357"/>
      <c r="AS346" s="357"/>
      <c r="AT346" s="357"/>
      <c r="AU346" s="357"/>
      <c r="AV346" s="357"/>
      <c r="AW346" s="357"/>
      <c r="AX346" s="357"/>
      <c r="AY346" s="357"/>
      <c r="AZ346" s="357"/>
      <c r="BA346" s="357"/>
      <c r="BB346" s="357"/>
      <c r="BC346" s="357"/>
      <c r="BD346" s="357"/>
    </row>
    <row r="347" spans="1:56">
      <c r="A347" s="320" t="s">
        <v>43</v>
      </c>
      <c r="B347" s="318"/>
      <c r="C347" s="318"/>
      <c r="D347" s="318">
        <v>1500</v>
      </c>
      <c r="E347" s="318"/>
      <c r="F347" s="318"/>
      <c r="G347" s="318"/>
      <c r="H347" s="318"/>
      <c r="I347" s="318"/>
      <c r="J347" s="318"/>
      <c r="K347" s="318">
        <v>500</v>
      </c>
      <c r="L347" s="688"/>
      <c r="M347" s="689"/>
      <c r="V347" s="357"/>
      <c r="W347" s="357"/>
      <c r="X347" s="357"/>
      <c r="Y347" s="357"/>
      <c r="Z347" s="357"/>
      <c r="AA347" s="357"/>
      <c r="AB347" s="357"/>
      <c r="AC347" s="357"/>
      <c r="AD347" s="357"/>
      <c r="AE347" s="357"/>
      <c r="AF347" s="357"/>
      <c r="AG347" s="357"/>
      <c r="AH347" s="357"/>
      <c r="AI347" s="357"/>
      <c r="AJ347" s="357"/>
      <c r="AK347" s="357"/>
      <c r="AL347" s="357"/>
      <c r="AM347" s="357"/>
      <c r="AN347" s="357"/>
      <c r="AO347" s="357"/>
      <c r="AP347" s="357"/>
      <c r="AQ347" s="357"/>
      <c r="AR347" s="357"/>
      <c r="AS347" s="357"/>
      <c r="AT347" s="357"/>
      <c r="AU347" s="357"/>
      <c r="AV347" s="357"/>
      <c r="AW347" s="357"/>
      <c r="AX347" s="357"/>
      <c r="AY347" s="357"/>
      <c r="AZ347" s="357"/>
      <c r="BA347" s="357"/>
      <c r="BB347" s="357"/>
      <c r="BC347" s="357"/>
      <c r="BD347" s="357"/>
    </row>
    <row r="348" spans="1:56">
      <c r="A348" s="320" t="s">
        <v>44</v>
      </c>
      <c r="B348" s="318"/>
      <c r="C348" s="318"/>
      <c r="D348" s="318"/>
      <c r="E348" s="318">
        <v>500</v>
      </c>
      <c r="F348" s="318"/>
      <c r="G348" s="318"/>
      <c r="H348" s="318"/>
      <c r="I348" s="318"/>
      <c r="J348" s="318"/>
      <c r="K348" s="318"/>
      <c r="L348" s="688">
        <v>350</v>
      </c>
      <c r="M348" s="689"/>
      <c r="V348" s="357"/>
      <c r="W348" s="357"/>
      <c r="X348" s="357"/>
      <c r="Y348" s="357"/>
      <c r="Z348" s="357"/>
      <c r="AA348" s="357"/>
      <c r="AB348" s="357"/>
      <c r="AC348" s="357"/>
      <c r="AD348" s="357"/>
      <c r="AE348" s="357"/>
      <c r="AF348" s="357"/>
      <c r="AG348" s="357"/>
      <c r="AH348" s="357"/>
      <c r="AI348" s="357"/>
      <c r="AJ348" s="357"/>
      <c r="AK348" s="357"/>
      <c r="AL348" s="357"/>
      <c r="AM348" s="357"/>
      <c r="AN348" s="357"/>
      <c r="AO348" s="357"/>
      <c r="AP348" s="357"/>
      <c r="AQ348" s="357"/>
      <c r="AR348" s="357"/>
      <c r="AS348" s="357"/>
      <c r="AT348" s="357"/>
      <c r="AU348" s="357"/>
      <c r="AV348" s="357"/>
      <c r="AW348" s="357"/>
      <c r="AX348" s="357"/>
      <c r="AY348" s="357"/>
      <c r="AZ348" s="357"/>
      <c r="BA348" s="357"/>
      <c r="BB348" s="357"/>
      <c r="BC348" s="357"/>
      <c r="BD348" s="357"/>
    </row>
    <row r="349" spans="1:56" ht="16.5" thickBot="1">
      <c r="A349" s="371" t="s">
        <v>45</v>
      </c>
      <c r="B349" s="419"/>
      <c r="C349" s="419"/>
      <c r="D349" s="419"/>
      <c r="E349" s="419"/>
      <c r="F349" s="419">
        <v>250</v>
      </c>
      <c r="G349" s="419"/>
      <c r="H349" s="419"/>
      <c r="I349" s="419"/>
      <c r="J349" s="419"/>
      <c r="K349" s="419"/>
      <c r="L349" s="690"/>
      <c r="M349" s="691"/>
      <c r="V349" s="357"/>
      <c r="W349" s="357"/>
      <c r="X349" s="357"/>
      <c r="Y349" s="357"/>
      <c r="Z349" s="357"/>
      <c r="AA349" s="357"/>
      <c r="AB349" s="357"/>
      <c r="AC349" s="357"/>
      <c r="AD349" s="357"/>
      <c r="AE349" s="357"/>
      <c r="AF349" s="357"/>
      <c r="AG349" s="357"/>
      <c r="AH349" s="357"/>
      <c r="AI349" s="357"/>
      <c r="AJ349" s="357"/>
      <c r="AK349" s="357"/>
      <c r="AL349" s="357"/>
      <c r="AM349" s="357"/>
      <c r="AN349" s="357"/>
      <c r="AO349" s="357"/>
      <c r="AP349" s="357"/>
      <c r="AQ349" s="357"/>
      <c r="AR349" s="357"/>
      <c r="AS349" s="357"/>
      <c r="AT349" s="357"/>
      <c r="AU349" s="357"/>
      <c r="AV349" s="357"/>
      <c r="AW349" s="357"/>
      <c r="AX349" s="357"/>
      <c r="AY349" s="357"/>
      <c r="AZ349" s="357"/>
      <c r="BA349" s="357"/>
      <c r="BB349" s="357"/>
      <c r="BC349" s="357"/>
      <c r="BD349" s="357"/>
    </row>
    <row r="350" spans="1:56">
      <c r="G350" s="357"/>
      <c r="H350" s="357"/>
      <c r="I350" s="357"/>
      <c r="J350" s="357"/>
      <c r="K350" s="357"/>
      <c r="L350" s="357"/>
      <c r="M350" s="357"/>
      <c r="N350" s="357"/>
      <c r="O350" s="357"/>
      <c r="P350" s="357"/>
      <c r="Q350" s="357"/>
      <c r="R350" s="357"/>
      <c r="S350" s="357"/>
      <c r="T350" s="357"/>
      <c r="U350" s="357"/>
      <c r="V350" s="357"/>
      <c r="W350" s="357"/>
      <c r="X350" s="357"/>
      <c r="Y350" s="357"/>
      <c r="Z350" s="357"/>
      <c r="AA350" s="357"/>
      <c r="AB350" s="357"/>
      <c r="AC350" s="357"/>
      <c r="AD350" s="357"/>
      <c r="AE350" s="357"/>
      <c r="AF350" s="357"/>
      <c r="AG350" s="357"/>
      <c r="AH350" s="357"/>
      <c r="AI350" s="357"/>
      <c r="AJ350" s="357"/>
      <c r="AK350" s="357"/>
      <c r="AL350" s="357"/>
      <c r="AM350" s="357"/>
      <c r="AN350" s="357"/>
      <c r="AO350" s="357"/>
      <c r="AP350" s="357"/>
      <c r="AQ350" s="357"/>
      <c r="AR350" s="357"/>
      <c r="AS350" s="357"/>
      <c r="AT350" s="357"/>
      <c r="AU350" s="357"/>
      <c r="AV350" s="357"/>
      <c r="AW350" s="357"/>
      <c r="AX350" s="357"/>
      <c r="AY350" s="357"/>
      <c r="AZ350" s="357"/>
      <c r="BA350" s="357"/>
      <c r="BB350" s="357"/>
      <c r="BC350" s="357"/>
      <c r="BD350" s="357"/>
    </row>
    <row r="351" spans="1:56">
      <c r="G351" s="357"/>
      <c r="H351" s="357"/>
      <c r="I351" s="357"/>
      <c r="J351" s="357"/>
      <c r="K351" s="357"/>
      <c r="L351" s="357"/>
      <c r="M351" s="357"/>
      <c r="N351" s="357"/>
      <c r="O351" s="357"/>
      <c r="P351" s="357"/>
      <c r="Q351" s="357"/>
      <c r="R351" s="357"/>
      <c r="S351" s="357"/>
      <c r="T351" s="357"/>
      <c r="U351" s="357"/>
      <c r="V351" s="357"/>
      <c r="W351" s="357"/>
      <c r="X351" s="357"/>
      <c r="Y351" s="357"/>
      <c r="Z351" s="357"/>
      <c r="AA351" s="357"/>
      <c r="AB351" s="357"/>
      <c r="AC351" s="357"/>
      <c r="AD351" s="357"/>
      <c r="AE351" s="357"/>
      <c r="AF351" s="357"/>
      <c r="AG351" s="357"/>
      <c r="AH351" s="357"/>
      <c r="AI351" s="357"/>
      <c r="AJ351" s="357"/>
      <c r="AK351" s="357"/>
      <c r="AL351" s="357"/>
      <c r="AM351" s="357"/>
      <c r="AN351" s="357"/>
      <c r="AO351" s="357"/>
      <c r="AP351" s="357"/>
      <c r="AQ351" s="357"/>
      <c r="AR351" s="357"/>
      <c r="AS351" s="357"/>
      <c r="AT351" s="357"/>
      <c r="AU351" s="357"/>
      <c r="AV351" s="357"/>
      <c r="AW351" s="357"/>
      <c r="AX351" s="357"/>
      <c r="AY351" s="357"/>
      <c r="AZ351" s="357"/>
      <c r="BA351" s="357"/>
      <c r="BB351" s="357"/>
      <c r="BC351" s="357"/>
      <c r="BD351" s="357"/>
    </row>
    <row r="352" spans="1:56">
      <c r="G352" s="357"/>
      <c r="H352" s="357"/>
      <c r="I352" s="357"/>
      <c r="J352" s="357"/>
      <c r="K352" s="357"/>
      <c r="L352" s="357"/>
      <c r="M352" s="357"/>
      <c r="N352" s="357"/>
      <c r="O352" s="357"/>
      <c r="P352" s="357"/>
      <c r="Q352" s="357"/>
      <c r="R352" s="357"/>
      <c r="S352" s="357"/>
      <c r="T352" s="357"/>
      <c r="U352" s="357"/>
      <c r="V352" s="357"/>
      <c r="W352" s="357"/>
      <c r="X352" s="357"/>
      <c r="Y352" s="357"/>
      <c r="Z352" s="357"/>
      <c r="AA352" s="357"/>
      <c r="AB352" s="357"/>
      <c r="AC352" s="357"/>
      <c r="AD352" s="357"/>
      <c r="AE352" s="357"/>
      <c r="AF352" s="357"/>
      <c r="AG352" s="357"/>
      <c r="AH352" s="357"/>
      <c r="AI352" s="357"/>
      <c r="AJ352" s="357"/>
      <c r="AK352" s="357"/>
      <c r="AL352" s="357"/>
      <c r="AM352" s="357"/>
      <c r="AN352" s="357"/>
      <c r="AO352" s="357"/>
      <c r="AP352" s="357"/>
      <c r="AQ352" s="357"/>
      <c r="AR352" s="357"/>
      <c r="AS352" s="357"/>
      <c r="AT352" s="357"/>
      <c r="AU352" s="357"/>
      <c r="AV352" s="357"/>
      <c r="AW352" s="357"/>
      <c r="AX352" s="357"/>
      <c r="AY352" s="357"/>
      <c r="AZ352" s="357"/>
      <c r="BA352" s="357"/>
      <c r="BB352" s="357"/>
      <c r="BC352" s="357"/>
      <c r="BD352" s="357"/>
    </row>
    <row r="353" spans="1:56">
      <c r="G353" s="357"/>
      <c r="H353" s="357"/>
      <c r="I353" s="357"/>
      <c r="J353" s="357"/>
      <c r="K353" s="357"/>
      <c r="L353" s="357"/>
      <c r="M353" s="357"/>
      <c r="N353" s="357"/>
      <c r="O353" s="357"/>
      <c r="P353" s="357"/>
      <c r="Q353" s="357"/>
      <c r="R353" s="357"/>
      <c r="S353" s="357"/>
      <c r="T353" s="357"/>
      <c r="U353" s="357"/>
      <c r="V353" s="357"/>
      <c r="W353" s="357"/>
      <c r="X353" s="357"/>
      <c r="Y353" s="357"/>
      <c r="Z353" s="357"/>
      <c r="AA353" s="357"/>
      <c r="AB353" s="357"/>
      <c r="AC353" s="357"/>
      <c r="AD353" s="357"/>
      <c r="AE353" s="357"/>
      <c r="AF353" s="357"/>
      <c r="AG353" s="357"/>
      <c r="AH353" s="357"/>
      <c r="AI353" s="357"/>
      <c r="AJ353" s="357"/>
      <c r="AK353" s="357"/>
      <c r="AL353" s="357"/>
      <c r="AM353" s="357"/>
      <c r="AN353" s="357"/>
      <c r="AO353" s="357"/>
      <c r="AP353" s="357"/>
      <c r="AQ353" s="357"/>
      <c r="AR353" s="357"/>
      <c r="AS353" s="357"/>
      <c r="AT353" s="357"/>
      <c r="AU353" s="357"/>
      <c r="AV353" s="357"/>
      <c r="AW353" s="357"/>
      <c r="AX353" s="357"/>
      <c r="AY353" s="357"/>
      <c r="AZ353" s="357"/>
      <c r="BA353" s="357"/>
      <c r="BB353" s="357"/>
      <c r="BC353" s="357"/>
      <c r="BD353" s="357"/>
    </row>
    <row r="354" spans="1:56">
      <c r="G354" s="357"/>
      <c r="H354" s="357"/>
      <c r="I354" s="357"/>
      <c r="J354" s="357"/>
      <c r="K354" s="357"/>
      <c r="L354" s="357"/>
      <c r="M354" s="357"/>
      <c r="N354" s="357"/>
      <c r="O354" s="357"/>
      <c r="P354" s="357"/>
      <c r="Q354" s="357"/>
      <c r="R354" s="357"/>
      <c r="S354" s="357"/>
      <c r="T354" s="357"/>
      <c r="U354" s="357"/>
      <c r="V354" s="357"/>
      <c r="W354" s="357"/>
      <c r="X354" s="357"/>
      <c r="Y354" s="357"/>
      <c r="Z354" s="357"/>
      <c r="AA354" s="357"/>
      <c r="AB354" s="357"/>
      <c r="AC354" s="357"/>
      <c r="AD354" s="357"/>
      <c r="AE354" s="357"/>
      <c r="AF354" s="357"/>
      <c r="AG354" s="357"/>
      <c r="AH354" s="357"/>
      <c r="AI354" s="357"/>
      <c r="AJ354" s="357"/>
      <c r="AK354" s="357"/>
      <c r="AL354" s="357"/>
      <c r="AM354" s="357"/>
      <c r="AN354" s="357"/>
      <c r="AO354" s="357"/>
      <c r="AP354" s="357"/>
      <c r="AQ354" s="357"/>
      <c r="AR354" s="357"/>
      <c r="AS354" s="357"/>
      <c r="AT354" s="357"/>
      <c r="AU354" s="357"/>
      <c r="AV354" s="357"/>
      <c r="AW354" s="357"/>
      <c r="AX354" s="357"/>
      <c r="AY354" s="357"/>
      <c r="AZ354" s="357"/>
      <c r="BA354" s="357"/>
      <c r="BB354" s="357"/>
      <c r="BC354" s="357"/>
      <c r="BD354" s="357"/>
    </row>
    <row r="355" spans="1:56" ht="16.5" thickBot="1">
      <c r="G355" s="357"/>
      <c r="H355" s="357"/>
      <c r="I355" s="357"/>
      <c r="J355" s="357"/>
      <c r="K355" s="357"/>
      <c r="L355" s="357"/>
      <c r="M355" s="357"/>
      <c r="N355" s="357"/>
      <c r="O355" s="357"/>
      <c r="P355" s="357"/>
      <c r="Q355" s="357"/>
      <c r="R355" s="357"/>
      <c r="S355" s="357"/>
      <c r="T355" s="357"/>
      <c r="U355" s="357"/>
      <c r="V355" s="357"/>
      <c r="W355" s="357"/>
      <c r="X355" s="357"/>
      <c r="Y355" s="357"/>
      <c r="Z355" s="357"/>
      <c r="AA355" s="357"/>
      <c r="AB355" s="357"/>
      <c r="AC355" s="357"/>
      <c r="AD355" s="357"/>
      <c r="AE355" s="357"/>
      <c r="AF355" s="357"/>
      <c r="AG355" s="357"/>
      <c r="AH355" s="357"/>
      <c r="AI355" s="357"/>
      <c r="AJ355" s="357"/>
      <c r="AK355" s="357"/>
      <c r="AL355" s="357"/>
      <c r="AM355" s="357"/>
      <c r="AN355" s="357"/>
      <c r="AO355" s="357"/>
      <c r="AP355" s="357"/>
      <c r="AQ355" s="357"/>
      <c r="AR355" s="357"/>
      <c r="AS355" s="357"/>
      <c r="AT355" s="357"/>
      <c r="AU355" s="357"/>
      <c r="AV355" s="357"/>
      <c r="AW355" s="357"/>
      <c r="AX355" s="357"/>
      <c r="AY355" s="357"/>
      <c r="AZ355" s="357"/>
      <c r="BA355" s="357"/>
      <c r="BB355" s="357"/>
      <c r="BC355" s="357"/>
      <c r="BD355" s="357"/>
    </row>
    <row r="356" spans="1:56" ht="16.5" thickBot="1">
      <c r="A356" s="1061" t="s">
        <v>111</v>
      </c>
      <c r="B356" s="1062"/>
      <c r="C356" s="1062"/>
      <c r="D356" s="650" t="s">
        <v>266</v>
      </c>
      <c r="E356" s="650" t="s">
        <v>267</v>
      </c>
      <c r="F356" s="651" t="s">
        <v>268</v>
      </c>
      <c r="G356" s="357"/>
      <c r="H356" s="357"/>
      <c r="I356" s="357"/>
      <c r="J356" s="357"/>
      <c r="K356" s="357"/>
      <c r="L356" s="357"/>
      <c r="M356" s="357"/>
      <c r="N356" s="357"/>
      <c r="O356" s="357"/>
      <c r="P356" s="357"/>
      <c r="Q356" s="357"/>
      <c r="R356" s="357"/>
      <c r="S356" s="357"/>
      <c r="T356" s="357"/>
      <c r="U356" s="357"/>
      <c r="V356" s="357"/>
      <c r="W356" s="357"/>
      <c r="X356" s="357"/>
      <c r="Y356" s="357"/>
      <c r="Z356" s="357"/>
      <c r="AA356" s="357"/>
      <c r="AB356" s="357"/>
      <c r="AC356" s="357"/>
      <c r="AD356" s="357"/>
      <c r="AE356" s="357"/>
      <c r="AF356" s="357"/>
      <c r="AG356" s="357"/>
      <c r="AH356" s="357"/>
      <c r="AI356" s="357"/>
      <c r="AJ356" s="357"/>
      <c r="AK356" s="357"/>
      <c r="AL356" s="357"/>
      <c r="AM356" s="357"/>
      <c r="AN356" s="357"/>
      <c r="AO356" s="357"/>
      <c r="AP356" s="357"/>
      <c r="AQ356" s="357"/>
      <c r="AR356" s="357"/>
      <c r="AS356" s="357"/>
      <c r="AT356" s="357"/>
      <c r="AU356" s="357"/>
      <c r="AV356" s="357"/>
      <c r="AW356" s="357"/>
      <c r="AX356" s="357"/>
      <c r="AY356" s="357"/>
      <c r="AZ356" s="357"/>
      <c r="BA356" s="357"/>
      <c r="BB356" s="357"/>
      <c r="BC356" s="357"/>
      <c r="BD356" s="357"/>
    </row>
    <row r="357" spans="1:56">
      <c r="A357" s="1063" t="s">
        <v>331</v>
      </c>
      <c r="B357" s="1064"/>
      <c r="C357" s="1064"/>
      <c r="D357" s="643">
        <v>1000</v>
      </c>
      <c r="E357" s="643">
        <v>1200</v>
      </c>
      <c r="F357" s="337">
        <v>2000</v>
      </c>
      <c r="G357" s="357"/>
      <c r="H357" s="357"/>
      <c r="I357" s="357"/>
      <c r="J357" s="357"/>
      <c r="K357" s="357"/>
      <c r="L357" s="357"/>
      <c r="M357" s="357"/>
      <c r="N357" s="357"/>
      <c r="O357" s="357"/>
      <c r="P357" s="357"/>
      <c r="Q357" s="357"/>
      <c r="R357" s="357"/>
      <c r="S357" s="357"/>
      <c r="T357" s="357"/>
      <c r="U357" s="357"/>
      <c r="V357" s="357"/>
      <c r="W357" s="357"/>
      <c r="X357" s="357"/>
      <c r="Y357" s="357"/>
      <c r="Z357" s="357"/>
      <c r="AA357" s="357"/>
      <c r="AB357" s="357"/>
      <c r="AC357" s="357"/>
      <c r="AD357" s="357"/>
      <c r="AE357" s="357"/>
      <c r="AF357" s="357"/>
      <c r="AG357" s="357"/>
      <c r="AH357" s="357"/>
      <c r="AI357" s="357"/>
      <c r="AJ357" s="357"/>
      <c r="AK357" s="357"/>
      <c r="AL357" s="357"/>
      <c r="AM357" s="357"/>
      <c r="AN357" s="357"/>
      <c r="AO357" s="357"/>
      <c r="AP357" s="357"/>
      <c r="AQ357" s="357"/>
      <c r="AR357" s="357"/>
      <c r="AS357" s="357"/>
      <c r="AT357" s="357"/>
      <c r="AU357" s="357"/>
      <c r="AV357" s="357"/>
      <c r="AW357" s="357"/>
      <c r="AX357" s="357"/>
      <c r="AY357" s="357"/>
      <c r="AZ357" s="357"/>
      <c r="BA357" s="357"/>
      <c r="BB357" s="357"/>
      <c r="BC357" s="357"/>
      <c r="BD357" s="357"/>
    </row>
    <row r="358" spans="1:56">
      <c r="A358" s="1065" t="s">
        <v>332</v>
      </c>
      <c r="B358" s="1066"/>
      <c r="C358" s="1066"/>
      <c r="D358" s="644">
        <v>0.5</v>
      </c>
      <c r="E358" s="645">
        <v>0.7</v>
      </c>
      <c r="F358" s="581"/>
      <c r="G358" s="357"/>
      <c r="H358" s="357"/>
      <c r="I358" s="357"/>
      <c r="J358" s="357"/>
      <c r="K358" s="357"/>
      <c r="L358" s="357"/>
      <c r="M358" s="357"/>
      <c r="N358" s="357"/>
      <c r="O358" s="357"/>
      <c r="P358" s="357"/>
      <c r="Q358" s="357"/>
      <c r="R358" s="357"/>
      <c r="S358" s="357"/>
      <c r="T358" s="357"/>
      <c r="U358" s="357"/>
      <c r="V358" s="357"/>
      <c r="W358" s="357"/>
      <c r="X358" s="357"/>
      <c r="Y358" s="357"/>
      <c r="Z358" s="357"/>
      <c r="AA358" s="357"/>
      <c r="AB358" s="357"/>
      <c r="AC358" s="357"/>
      <c r="AD358" s="357"/>
      <c r="AE358" s="357"/>
      <c r="AF358" s="357"/>
      <c r="AG358" s="357"/>
      <c r="AH358" s="357"/>
      <c r="AI358" s="357"/>
      <c r="AJ358" s="357"/>
      <c r="AK358" s="357"/>
      <c r="AL358" s="357"/>
      <c r="AM358" s="357"/>
      <c r="AN358" s="357"/>
      <c r="AO358" s="357"/>
      <c r="AP358" s="357"/>
      <c r="AQ358" s="357"/>
      <c r="AR358" s="357"/>
      <c r="AS358" s="357"/>
      <c r="AT358" s="357"/>
      <c r="AU358" s="357"/>
      <c r="AV358" s="357"/>
      <c r="AW358" s="357"/>
      <c r="AX358" s="357"/>
      <c r="AY358" s="357"/>
      <c r="AZ358" s="357"/>
      <c r="BA358" s="357"/>
      <c r="BB358" s="357"/>
      <c r="BC358" s="357"/>
      <c r="BD358" s="357"/>
    </row>
    <row r="359" spans="1:56">
      <c r="A359" s="1065" t="s">
        <v>335</v>
      </c>
      <c r="B359" s="1066"/>
      <c r="C359" s="1066"/>
      <c r="D359" s="646">
        <v>1300</v>
      </c>
      <c r="E359" s="647">
        <v>1400</v>
      </c>
      <c r="F359" s="581"/>
      <c r="G359" s="357"/>
      <c r="H359" s="357"/>
      <c r="I359" s="357"/>
      <c r="J359" s="357"/>
      <c r="K359" s="357"/>
      <c r="L359" s="357"/>
      <c r="M359" s="357"/>
      <c r="N359" s="357"/>
      <c r="O359" s="357"/>
      <c r="P359" s="357"/>
      <c r="Q359" s="357"/>
      <c r="R359" s="357"/>
      <c r="S359" s="357"/>
      <c r="T359" s="357"/>
      <c r="U359" s="357"/>
      <c r="V359" s="357"/>
      <c r="W359" s="357"/>
      <c r="X359" s="357"/>
      <c r="Y359" s="357"/>
      <c r="Z359" s="357"/>
      <c r="AA359" s="357"/>
      <c r="AB359" s="357"/>
      <c r="AC359" s="357"/>
      <c r="AD359" s="357"/>
      <c r="AE359" s="357"/>
      <c r="AF359" s="357"/>
      <c r="AG359" s="357"/>
      <c r="AH359" s="357"/>
      <c r="AI359" s="357"/>
      <c r="AJ359" s="357"/>
      <c r="AK359" s="357"/>
      <c r="AL359" s="357"/>
      <c r="AM359" s="357"/>
      <c r="AN359" s="357"/>
      <c r="AO359" s="357"/>
      <c r="AP359" s="357"/>
      <c r="AQ359" s="357"/>
      <c r="AR359" s="357"/>
      <c r="AS359" s="357"/>
      <c r="AT359" s="357"/>
      <c r="AU359" s="357"/>
      <c r="AV359" s="357"/>
      <c r="AW359" s="357"/>
      <c r="AX359" s="357"/>
      <c r="AY359" s="357"/>
      <c r="AZ359" s="357"/>
      <c r="BA359" s="357"/>
      <c r="BB359" s="357"/>
      <c r="BC359" s="357"/>
      <c r="BD359" s="357"/>
    </row>
    <row r="360" spans="1:56" ht="16.5" thickBot="1">
      <c r="A360" s="1067" t="s">
        <v>333</v>
      </c>
      <c r="B360" s="1068"/>
      <c r="C360" s="1068"/>
      <c r="D360" s="648">
        <v>100000</v>
      </c>
      <c r="E360" s="649">
        <v>120000</v>
      </c>
      <c r="F360" s="584"/>
      <c r="G360" s="357"/>
      <c r="H360" s="357"/>
      <c r="I360" s="357"/>
      <c r="J360" s="357"/>
      <c r="K360" s="357"/>
      <c r="L360" s="357"/>
      <c r="M360" s="357"/>
      <c r="N360" s="357"/>
      <c r="O360" s="357"/>
      <c r="P360" s="357"/>
      <c r="Q360" s="357"/>
      <c r="R360" s="357"/>
      <c r="S360" s="357"/>
      <c r="T360" s="357"/>
      <c r="U360" s="357"/>
      <c r="V360" s="357"/>
      <c r="W360" s="357"/>
      <c r="X360" s="357"/>
      <c r="Y360" s="357"/>
      <c r="Z360" s="357"/>
      <c r="AA360" s="357"/>
      <c r="AB360" s="357"/>
      <c r="AC360" s="357"/>
      <c r="AD360" s="357"/>
      <c r="AE360" s="357"/>
      <c r="AF360" s="357"/>
      <c r="AG360" s="357"/>
      <c r="AH360" s="357"/>
      <c r="AI360" s="357"/>
      <c r="AJ360" s="357"/>
      <c r="AK360" s="357"/>
      <c r="AL360" s="357"/>
      <c r="AM360" s="357"/>
      <c r="AN360" s="357"/>
      <c r="AO360" s="357"/>
      <c r="AP360" s="357"/>
      <c r="AQ360" s="357"/>
      <c r="AR360" s="357"/>
      <c r="AS360" s="357"/>
      <c r="AT360" s="357"/>
      <c r="AU360" s="357"/>
      <c r="AV360" s="357"/>
      <c r="AW360" s="357"/>
      <c r="AX360" s="357"/>
      <c r="AY360" s="357"/>
      <c r="AZ360" s="357"/>
      <c r="BA360" s="357"/>
      <c r="BB360" s="357"/>
      <c r="BC360" s="357"/>
      <c r="BD360" s="357"/>
    </row>
    <row r="361" spans="1:56">
      <c r="G361" s="357"/>
      <c r="H361" s="357"/>
      <c r="I361" s="357"/>
      <c r="J361" s="357"/>
      <c r="K361" s="357"/>
      <c r="L361" s="357"/>
      <c r="M361" s="357"/>
      <c r="N361" s="357"/>
      <c r="O361" s="357"/>
      <c r="P361" s="357"/>
      <c r="Q361" s="357"/>
      <c r="R361" s="357"/>
      <c r="S361" s="357"/>
      <c r="T361" s="357"/>
      <c r="U361" s="357"/>
      <c r="V361" s="357"/>
      <c r="W361" s="357"/>
      <c r="X361" s="357"/>
      <c r="Y361" s="357"/>
      <c r="Z361" s="357"/>
      <c r="AA361" s="357"/>
      <c r="AB361" s="357"/>
      <c r="AC361" s="357"/>
      <c r="AD361" s="357"/>
      <c r="AE361" s="357"/>
      <c r="AF361" s="357"/>
      <c r="AG361" s="357"/>
      <c r="AH361" s="357"/>
      <c r="AI361" s="357"/>
      <c r="AJ361" s="357"/>
      <c r="AK361" s="357"/>
      <c r="AL361" s="357"/>
      <c r="AM361" s="357"/>
      <c r="AN361" s="357"/>
      <c r="AO361" s="357"/>
      <c r="AP361" s="357"/>
      <c r="AQ361" s="357"/>
      <c r="AR361" s="357"/>
      <c r="AS361" s="357"/>
      <c r="AT361" s="357"/>
      <c r="AU361" s="357"/>
      <c r="AV361" s="357"/>
      <c r="AW361" s="357"/>
      <c r="AX361" s="357"/>
      <c r="AY361" s="357"/>
      <c r="AZ361" s="357"/>
      <c r="BA361" s="357"/>
      <c r="BB361" s="357"/>
      <c r="BC361" s="357"/>
      <c r="BD361" s="357"/>
    </row>
    <row r="362" spans="1:56">
      <c r="G362" s="357"/>
      <c r="H362" s="357"/>
      <c r="I362" s="357"/>
      <c r="J362" s="357"/>
      <c r="K362" s="357"/>
      <c r="L362" s="357"/>
      <c r="M362" s="357"/>
      <c r="N362" s="357"/>
      <c r="O362" s="357"/>
      <c r="P362" s="357"/>
      <c r="Q362" s="357"/>
      <c r="R362" s="357"/>
      <c r="S362" s="357"/>
      <c r="T362" s="357"/>
      <c r="U362" s="357"/>
      <c r="V362" s="357"/>
      <c r="W362" s="357"/>
      <c r="X362" s="357"/>
      <c r="Y362" s="357"/>
      <c r="Z362" s="357"/>
      <c r="AA362" s="357"/>
      <c r="AB362" s="357"/>
      <c r="AC362" s="357"/>
      <c r="AD362" s="357"/>
      <c r="AE362" s="357"/>
      <c r="AF362" s="357"/>
      <c r="AG362" s="357"/>
      <c r="AH362" s="357"/>
      <c r="AI362" s="357"/>
      <c r="AJ362" s="357"/>
      <c r="AK362" s="357"/>
      <c r="AL362" s="357"/>
      <c r="AM362" s="357"/>
      <c r="AN362" s="357"/>
      <c r="AO362" s="357"/>
      <c r="AP362" s="357"/>
      <c r="AQ362" s="357"/>
      <c r="AR362" s="357"/>
      <c r="AS362" s="357"/>
      <c r="AT362" s="357"/>
      <c r="AU362" s="357"/>
      <c r="AV362" s="357"/>
      <c r="AW362" s="357"/>
      <c r="AX362" s="357"/>
      <c r="AY362" s="357"/>
      <c r="AZ362" s="357"/>
      <c r="BA362" s="357"/>
      <c r="BB362" s="357"/>
      <c r="BC362" s="357"/>
      <c r="BD362" s="357"/>
    </row>
    <row r="363" spans="1:56">
      <c r="G363" s="357"/>
      <c r="H363" s="357"/>
      <c r="I363" s="357"/>
      <c r="J363" s="357"/>
      <c r="K363" s="357"/>
      <c r="L363" s="357"/>
      <c r="M363" s="357"/>
      <c r="N363" s="357"/>
      <c r="O363" s="357"/>
      <c r="P363" s="357"/>
      <c r="Q363" s="357"/>
      <c r="R363" s="357"/>
      <c r="S363" s="357"/>
      <c r="T363" s="357"/>
      <c r="U363" s="357"/>
      <c r="V363" s="357"/>
      <c r="W363" s="357"/>
      <c r="X363" s="357"/>
      <c r="Y363" s="357"/>
      <c r="Z363" s="357"/>
      <c r="AA363" s="357"/>
      <c r="AB363" s="357"/>
      <c r="AC363" s="357"/>
      <c r="AD363" s="357"/>
      <c r="AE363" s="357"/>
      <c r="AF363" s="357"/>
      <c r="AG363" s="357"/>
      <c r="AH363" s="357"/>
      <c r="AI363" s="357"/>
      <c r="AJ363" s="357"/>
      <c r="AK363" s="357"/>
      <c r="AL363" s="357"/>
      <c r="AM363" s="357"/>
      <c r="AN363" s="357"/>
      <c r="AO363" s="357"/>
      <c r="AP363" s="357"/>
      <c r="AQ363" s="357"/>
      <c r="AR363" s="357"/>
      <c r="AS363" s="357"/>
      <c r="AT363" s="357"/>
      <c r="AU363" s="357"/>
      <c r="AV363" s="357"/>
      <c r="AW363" s="357"/>
      <c r="AX363" s="357"/>
      <c r="AY363" s="357"/>
      <c r="AZ363" s="357"/>
      <c r="BA363" s="357"/>
      <c r="BB363" s="357"/>
      <c r="BC363" s="357"/>
      <c r="BD363" s="357"/>
    </row>
    <row r="364" spans="1:56">
      <c r="G364" s="357"/>
      <c r="H364" s="357"/>
      <c r="I364" s="357"/>
      <c r="J364" s="357"/>
      <c r="K364" s="357"/>
      <c r="L364" s="357"/>
      <c r="M364" s="357"/>
      <c r="N364" s="357"/>
      <c r="O364" s="357"/>
      <c r="P364" s="357"/>
      <c r="Q364" s="357"/>
      <c r="R364" s="357"/>
      <c r="S364" s="357"/>
      <c r="T364" s="357"/>
      <c r="U364" s="357"/>
      <c r="V364" s="357"/>
      <c r="W364" s="357"/>
      <c r="X364" s="357"/>
      <c r="Y364" s="357"/>
      <c r="Z364" s="357"/>
      <c r="AA364" s="357"/>
      <c r="AB364" s="357"/>
      <c r="AC364" s="357"/>
      <c r="AD364" s="357"/>
      <c r="AE364" s="357"/>
      <c r="AF364" s="357"/>
      <c r="AG364" s="357"/>
      <c r="AH364" s="357"/>
      <c r="AI364" s="357"/>
      <c r="AJ364" s="357"/>
      <c r="AK364" s="357"/>
      <c r="AL364" s="357"/>
      <c r="AM364" s="357"/>
      <c r="AN364" s="357"/>
      <c r="AO364" s="357"/>
      <c r="AP364" s="357"/>
      <c r="AQ364" s="357"/>
      <c r="AR364" s="357"/>
      <c r="AS364" s="357"/>
      <c r="AT364" s="357"/>
      <c r="AU364" s="357"/>
      <c r="AV364" s="357"/>
      <c r="AW364" s="357"/>
      <c r="AX364" s="357"/>
      <c r="AY364" s="357"/>
      <c r="AZ364" s="357"/>
      <c r="BA364" s="357"/>
      <c r="BB364" s="357"/>
      <c r="BC364" s="357"/>
      <c r="BD364" s="357"/>
    </row>
    <row r="365" spans="1:56">
      <c r="G365" s="357"/>
      <c r="H365" s="357"/>
      <c r="I365" s="357"/>
      <c r="J365" s="357"/>
      <c r="K365" s="357"/>
      <c r="L365" s="357"/>
      <c r="M365" s="357"/>
      <c r="N365" s="357"/>
      <c r="O365" s="357"/>
      <c r="P365" s="357"/>
      <c r="Q365" s="357"/>
      <c r="R365" s="357"/>
      <c r="S365" s="357"/>
      <c r="T365" s="357"/>
      <c r="U365" s="357"/>
      <c r="V365" s="357"/>
      <c r="W365" s="357"/>
      <c r="X365" s="357"/>
      <c r="Y365" s="357"/>
      <c r="Z365" s="357"/>
      <c r="AA365" s="357"/>
      <c r="AB365" s="357"/>
      <c r="AC365" s="357"/>
      <c r="AD365" s="357"/>
      <c r="AE365" s="357"/>
      <c r="AF365" s="357"/>
      <c r="AG365" s="357"/>
      <c r="AH365" s="357"/>
      <c r="AI365" s="357"/>
      <c r="AJ365" s="357"/>
      <c r="AK365" s="357"/>
      <c r="AL365" s="357"/>
      <c r="AM365" s="357"/>
      <c r="AN365" s="357"/>
      <c r="AO365" s="357"/>
      <c r="AP365" s="357"/>
      <c r="AQ365" s="357"/>
      <c r="AR365" s="357"/>
      <c r="AS365" s="357"/>
      <c r="AT365" s="357"/>
      <c r="AU365" s="357"/>
      <c r="AV365" s="357"/>
      <c r="AW365" s="357"/>
      <c r="AX365" s="357"/>
      <c r="AY365" s="357"/>
      <c r="AZ365" s="357"/>
      <c r="BA365" s="357"/>
      <c r="BB365" s="357"/>
      <c r="BC365" s="357"/>
      <c r="BD365" s="357"/>
    </row>
    <row r="366" spans="1:56">
      <c r="G366" s="357"/>
      <c r="H366" s="357"/>
      <c r="I366" s="357"/>
      <c r="J366" s="357"/>
      <c r="K366" s="357"/>
      <c r="L366" s="357"/>
      <c r="M366" s="357"/>
      <c r="N366" s="357"/>
      <c r="O366" s="357"/>
      <c r="P366" s="357"/>
      <c r="Q366" s="357"/>
      <c r="R366" s="357"/>
      <c r="S366" s="357"/>
      <c r="T366" s="357"/>
      <c r="U366" s="357"/>
      <c r="V366" s="357"/>
      <c r="W366" s="357"/>
      <c r="X366" s="357"/>
      <c r="Y366" s="357"/>
      <c r="Z366" s="357"/>
      <c r="AA366" s="357"/>
      <c r="AB366" s="357"/>
      <c r="AC366" s="357"/>
      <c r="AD366" s="357"/>
      <c r="AE366" s="357"/>
      <c r="AF366" s="357"/>
      <c r="AG366" s="357"/>
      <c r="AH366" s="357"/>
      <c r="AI366" s="357"/>
      <c r="AJ366" s="357"/>
      <c r="AK366" s="357"/>
      <c r="AL366" s="357"/>
      <c r="AM366" s="357"/>
      <c r="AN366" s="357"/>
      <c r="AO366" s="357"/>
      <c r="AP366" s="357"/>
      <c r="AQ366" s="357"/>
      <c r="AR366" s="357"/>
      <c r="AS366" s="357"/>
      <c r="AT366" s="357"/>
      <c r="AU366" s="357"/>
      <c r="AV366" s="357"/>
      <c r="AW366" s="357"/>
      <c r="AX366" s="357"/>
      <c r="AY366" s="357"/>
      <c r="AZ366" s="357"/>
      <c r="BA366" s="357"/>
      <c r="BB366" s="357"/>
      <c r="BC366" s="357"/>
      <c r="BD366" s="357"/>
    </row>
    <row r="367" spans="1:56">
      <c r="G367" s="357"/>
      <c r="H367" s="357"/>
      <c r="I367" s="357"/>
      <c r="J367" s="357"/>
      <c r="K367" s="357"/>
      <c r="L367" s="357"/>
      <c r="M367" s="357"/>
      <c r="N367" s="357"/>
      <c r="O367" s="357"/>
      <c r="P367" s="357"/>
      <c r="Q367" s="357"/>
      <c r="R367" s="357"/>
      <c r="S367" s="357"/>
      <c r="T367" s="357"/>
      <c r="U367" s="357"/>
      <c r="V367" s="357"/>
      <c r="W367" s="357"/>
      <c r="X367" s="357"/>
      <c r="Y367" s="357"/>
      <c r="Z367" s="357"/>
      <c r="AA367" s="357"/>
      <c r="AB367" s="357"/>
      <c r="AC367" s="357"/>
      <c r="AD367" s="357"/>
      <c r="AE367" s="357"/>
      <c r="AF367" s="357"/>
      <c r="AG367" s="357"/>
      <c r="AH367" s="357"/>
      <c r="AI367" s="357"/>
      <c r="AJ367" s="357"/>
      <c r="AK367" s="357"/>
      <c r="AL367" s="357"/>
      <c r="AM367" s="357"/>
      <c r="AN367" s="357"/>
      <c r="AO367" s="357"/>
      <c r="AP367" s="357"/>
      <c r="AQ367" s="357"/>
      <c r="AR367" s="357"/>
      <c r="AS367" s="357"/>
      <c r="AT367" s="357"/>
      <c r="AU367" s="357"/>
      <c r="AV367" s="357"/>
      <c r="AW367" s="357"/>
      <c r="AX367" s="357"/>
      <c r="AY367" s="357"/>
      <c r="AZ367" s="357"/>
      <c r="BA367" s="357"/>
      <c r="BB367" s="357"/>
      <c r="BC367" s="357"/>
      <c r="BD367" s="357"/>
    </row>
    <row r="368" spans="1:56">
      <c r="G368" s="357"/>
      <c r="H368" s="357"/>
      <c r="I368" s="357"/>
      <c r="J368" s="357"/>
      <c r="K368" s="357"/>
      <c r="L368" s="357"/>
      <c r="M368" s="357"/>
      <c r="N368" s="357"/>
      <c r="O368" s="357"/>
      <c r="P368" s="357"/>
      <c r="Q368" s="357"/>
      <c r="R368" s="357"/>
      <c r="S368" s="357"/>
      <c r="T368" s="357"/>
      <c r="U368" s="357"/>
      <c r="V368" s="357"/>
      <c r="W368" s="357"/>
      <c r="X368" s="357"/>
      <c r="Y368" s="357"/>
      <c r="Z368" s="357"/>
      <c r="AA368" s="357"/>
      <c r="AB368" s="357"/>
      <c r="AC368" s="357"/>
      <c r="AD368" s="357"/>
      <c r="AE368" s="357"/>
      <c r="AF368" s="357"/>
      <c r="AG368" s="357"/>
      <c r="AH368" s="357"/>
      <c r="AI368" s="357"/>
      <c r="AJ368" s="357"/>
      <c r="AK368" s="357"/>
      <c r="AL368" s="357"/>
      <c r="AM368" s="357"/>
      <c r="AN368" s="357"/>
      <c r="AO368" s="357"/>
      <c r="AP368" s="357"/>
      <c r="AQ368" s="357"/>
      <c r="AR368" s="357"/>
      <c r="AS368" s="357"/>
      <c r="AT368" s="357"/>
      <c r="AU368" s="357"/>
      <c r="AV368" s="357"/>
      <c r="AW368" s="357"/>
      <c r="AX368" s="357"/>
      <c r="AY368" s="357"/>
      <c r="AZ368" s="357"/>
      <c r="BA368" s="357"/>
      <c r="BB368" s="357"/>
      <c r="BC368" s="357"/>
      <c r="BD368" s="357"/>
    </row>
    <row r="369" spans="7:56">
      <c r="G369" s="357"/>
      <c r="H369" s="357"/>
      <c r="I369" s="357"/>
      <c r="J369" s="357"/>
      <c r="K369" s="357"/>
      <c r="L369" s="357"/>
      <c r="M369" s="357"/>
      <c r="N369" s="357"/>
      <c r="O369" s="357"/>
      <c r="P369" s="357"/>
      <c r="Q369" s="357"/>
      <c r="R369" s="357"/>
      <c r="S369" s="357"/>
      <c r="T369" s="357"/>
      <c r="U369" s="357"/>
      <c r="V369" s="357"/>
      <c r="W369" s="357"/>
      <c r="X369" s="357"/>
      <c r="Y369" s="357"/>
      <c r="Z369" s="357"/>
      <c r="AA369" s="357"/>
      <c r="AB369" s="357"/>
      <c r="AC369" s="357"/>
      <c r="AD369" s="357"/>
      <c r="AE369" s="357"/>
      <c r="AF369" s="357"/>
      <c r="AG369" s="357"/>
      <c r="AH369" s="357"/>
      <c r="AI369" s="357"/>
      <c r="AJ369" s="357"/>
      <c r="AK369" s="357"/>
      <c r="AL369" s="357"/>
      <c r="AM369" s="357"/>
      <c r="AN369" s="357"/>
      <c r="AO369" s="357"/>
      <c r="AP369" s="357"/>
      <c r="AQ369" s="357"/>
      <c r="AR369" s="357"/>
      <c r="AS369" s="357"/>
      <c r="AT369" s="357"/>
      <c r="AU369" s="357"/>
      <c r="AV369" s="357"/>
      <c r="AW369" s="357"/>
      <c r="AX369" s="357"/>
      <c r="AY369" s="357"/>
      <c r="AZ369" s="357"/>
      <c r="BA369" s="357"/>
      <c r="BB369" s="357"/>
      <c r="BC369" s="357"/>
      <c r="BD369" s="357"/>
    </row>
    <row r="370" spans="7:56">
      <c r="G370" s="357"/>
      <c r="H370" s="357"/>
      <c r="I370" s="357"/>
      <c r="J370" s="357"/>
      <c r="K370" s="357"/>
      <c r="L370" s="357"/>
      <c r="M370" s="357"/>
      <c r="N370" s="357"/>
      <c r="O370" s="357"/>
      <c r="P370" s="357"/>
      <c r="Q370" s="357"/>
      <c r="R370" s="357"/>
      <c r="S370" s="357"/>
      <c r="T370" s="357"/>
      <c r="U370" s="357"/>
      <c r="V370" s="357"/>
      <c r="W370" s="357"/>
      <c r="X370" s="357"/>
      <c r="Y370" s="357"/>
      <c r="Z370" s="357"/>
      <c r="AA370" s="357"/>
      <c r="AB370" s="357"/>
      <c r="AC370" s="357"/>
      <c r="AD370" s="357"/>
      <c r="AE370" s="357"/>
      <c r="AF370" s="357"/>
      <c r="AG370" s="357"/>
      <c r="AH370" s="357"/>
      <c r="AI370" s="357"/>
      <c r="AJ370" s="357"/>
      <c r="AK370" s="357"/>
      <c r="AL370" s="357"/>
      <c r="AM370" s="357"/>
      <c r="AN370" s="357"/>
      <c r="AO370" s="357"/>
      <c r="AP370" s="357"/>
      <c r="AQ370" s="357"/>
      <c r="AR370" s="357"/>
      <c r="AS370" s="357"/>
      <c r="AT370" s="357"/>
      <c r="AU370" s="357"/>
      <c r="AV370" s="357"/>
      <c r="AW370" s="357"/>
      <c r="AX370" s="357"/>
      <c r="AY370" s="357"/>
      <c r="AZ370" s="357"/>
      <c r="BA370" s="357"/>
      <c r="BB370" s="357"/>
      <c r="BC370" s="357"/>
      <c r="BD370" s="357"/>
    </row>
    <row r="371" spans="7:56">
      <c r="G371" s="357"/>
      <c r="H371" s="357"/>
      <c r="I371" s="357"/>
      <c r="J371" s="357"/>
      <c r="K371" s="357"/>
      <c r="L371" s="357"/>
      <c r="M371" s="357"/>
      <c r="N371" s="357"/>
      <c r="O371" s="357"/>
      <c r="P371" s="357"/>
      <c r="Q371" s="357"/>
      <c r="R371" s="357"/>
      <c r="S371" s="357"/>
      <c r="T371" s="357"/>
      <c r="U371" s="357"/>
      <c r="V371" s="357"/>
      <c r="W371" s="357"/>
      <c r="X371" s="357"/>
      <c r="Y371" s="357"/>
      <c r="Z371" s="357"/>
      <c r="AA371" s="357"/>
      <c r="AB371" s="357"/>
      <c r="AC371" s="357"/>
      <c r="AD371" s="357"/>
      <c r="AE371" s="357"/>
      <c r="AF371" s="357"/>
      <c r="AG371" s="357"/>
      <c r="AH371" s="357"/>
      <c r="AI371" s="357"/>
      <c r="AJ371" s="357"/>
      <c r="AK371" s="357"/>
      <c r="AL371" s="357"/>
      <c r="AM371" s="357"/>
      <c r="AN371" s="357"/>
      <c r="AO371" s="357"/>
      <c r="AP371" s="357"/>
      <c r="AQ371" s="357"/>
      <c r="AR371" s="357"/>
      <c r="AS371" s="357"/>
      <c r="AT371" s="357"/>
      <c r="AU371" s="357"/>
      <c r="AV371" s="357"/>
      <c r="AW371" s="357"/>
      <c r="AX371" s="357"/>
      <c r="AY371" s="357"/>
      <c r="AZ371" s="357"/>
      <c r="BA371" s="357"/>
      <c r="BB371" s="357"/>
      <c r="BC371" s="357"/>
      <c r="BD371" s="357"/>
    </row>
    <row r="372" spans="7:56">
      <c r="G372" s="357"/>
      <c r="H372" s="357"/>
      <c r="I372" s="357"/>
      <c r="J372" s="357"/>
      <c r="K372" s="357"/>
      <c r="L372" s="357"/>
      <c r="M372" s="357"/>
      <c r="N372" s="357"/>
      <c r="O372" s="357"/>
      <c r="P372" s="357"/>
      <c r="Q372" s="357"/>
      <c r="R372" s="357"/>
      <c r="S372" s="357"/>
      <c r="T372" s="357"/>
      <c r="U372" s="357"/>
      <c r="V372" s="357"/>
      <c r="W372" s="357"/>
      <c r="X372" s="357"/>
      <c r="Y372" s="357"/>
      <c r="Z372" s="357"/>
      <c r="AA372" s="357"/>
      <c r="AB372" s="357"/>
      <c r="AC372" s="357"/>
      <c r="AD372" s="357"/>
      <c r="AE372" s="357"/>
      <c r="AF372" s="357"/>
      <c r="AG372" s="357"/>
      <c r="AH372" s="357"/>
      <c r="AI372" s="357"/>
      <c r="AJ372" s="357"/>
      <c r="AK372" s="357"/>
      <c r="AL372" s="357"/>
      <c r="AM372" s="357"/>
      <c r="AN372" s="357"/>
      <c r="AO372" s="357"/>
      <c r="AP372" s="357"/>
      <c r="AQ372" s="357"/>
      <c r="AR372" s="357"/>
      <c r="AS372" s="357"/>
      <c r="AT372" s="357"/>
      <c r="AU372" s="357"/>
      <c r="AV372" s="357"/>
      <c r="AW372" s="357"/>
      <c r="AX372" s="357"/>
      <c r="AY372" s="357"/>
      <c r="AZ372" s="357"/>
      <c r="BA372" s="357"/>
      <c r="BB372" s="357"/>
      <c r="BC372" s="357"/>
      <c r="BD372" s="357"/>
    </row>
    <row r="373" spans="7:56">
      <c r="G373" s="357"/>
      <c r="H373" s="357"/>
      <c r="I373" s="357"/>
      <c r="J373" s="357"/>
      <c r="K373" s="357"/>
      <c r="L373" s="357"/>
      <c r="M373" s="357"/>
      <c r="N373" s="357"/>
      <c r="O373" s="357"/>
      <c r="P373" s="357"/>
      <c r="Q373" s="357"/>
      <c r="R373" s="357"/>
      <c r="S373" s="357"/>
      <c r="T373" s="357"/>
      <c r="U373" s="357"/>
      <c r="V373" s="357"/>
      <c r="W373" s="357"/>
      <c r="X373" s="357"/>
      <c r="Y373" s="357"/>
      <c r="Z373" s="357"/>
      <c r="AA373" s="357"/>
      <c r="AB373" s="357"/>
      <c r="AC373" s="357"/>
      <c r="AD373" s="357"/>
      <c r="AE373" s="357"/>
      <c r="AF373" s="357"/>
      <c r="AG373" s="357"/>
      <c r="AH373" s="357"/>
      <c r="AI373" s="357"/>
      <c r="AJ373" s="357"/>
      <c r="AK373" s="357"/>
      <c r="AL373" s="357"/>
      <c r="AM373" s="357"/>
      <c r="AN373" s="357"/>
      <c r="AO373" s="357"/>
      <c r="AP373" s="357"/>
      <c r="AQ373" s="357"/>
      <c r="AR373" s="357"/>
      <c r="AS373" s="357"/>
      <c r="AT373" s="357"/>
      <c r="AU373" s="357"/>
      <c r="AV373" s="357"/>
      <c r="AW373" s="357"/>
      <c r="AX373" s="357"/>
      <c r="AY373" s="357"/>
      <c r="AZ373" s="357"/>
      <c r="BA373" s="357"/>
      <c r="BB373" s="357"/>
      <c r="BC373" s="357"/>
      <c r="BD373" s="357"/>
    </row>
    <row r="374" spans="7:56">
      <c r="G374" s="357"/>
      <c r="H374" s="357"/>
      <c r="I374" s="357"/>
      <c r="J374" s="357"/>
      <c r="K374" s="357"/>
      <c r="L374" s="357"/>
      <c r="M374" s="357"/>
      <c r="N374" s="357"/>
      <c r="O374" s="357"/>
      <c r="P374" s="357"/>
      <c r="Q374" s="357"/>
      <c r="R374" s="357"/>
      <c r="S374" s="357"/>
      <c r="T374" s="357"/>
      <c r="U374" s="357"/>
      <c r="V374" s="357"/>
      <c r="W374" s="357"/>
      <c r="X374" s="357"/>
      <c r="Y374" s="357"/>
      <c r="Z374" s="357"/>
      <c r="AA374" s="357"/>
      <c r="AB374" s="357"/>
      <c r="AC374" s="357"/>
      <c r="AD374" s="357"/>
      <c r="AE374" s="357"/>
      <c r="AF374" s="357"/>
      <c r="AG374" s="357"/>
      <c r="AH374" s="357"/>
      <c r="AI374" s="357"/>
      <c r="AJ374" s="357"/>
      <c r="AK374" s="357"/>
      <c r="AL374" s="357"/>
      <c r="AM374" s="357"/>
      <c r="AN374" s="357"/>
      <c r="AO374" s="357"/>
      <c r="AP374" s="357"/>
      <c r="AQ374" s="357"/>
      <c r="AR374" s="357"/>
      <c r="AS374" s="357"/>
      <c r="AT374" s="357"/>
      <c r="AU374" s="357"/>
      <c r="AV374" s="357"/>
      <c r="AW374" s="357"/>
      <c r="AX374" s="357"/>
      <c r="AY374" s="357"/>
      <c r="AZ374" s="357"/>
      <c r="BA374" s="357"/>
      <c r="BB374" s="357"/>
      <c r="BC374" s="357"/>
      <c r="BD374" s="357"/>
    </row>
    <row r="375" spans="7:56">
      <c r="G375" s="357"/>
      <c r="H375" s="357"/>
      <c r="I375" s="357"/>
      <c r="J375" s="357"/>
      <c r="K375" s="357"/>
      <c r="L375" s="357"/>
      <c r="M375" s="357"/>
      <c r="N375" s="357"/>
      <c r="O375" s="357"/>
      <c r="P375" s="357"/>
      <c r="Q375" s="357"/>
      <c r="R375" s="357"/>
      <c r="S375" s="357"/>
      <c r="T375" s="357"/>
      <c r="U375" s="357"/>
      <c r="V375" s="357"/>
      <c r="W375" s="357"/>
      <c r="X375" s="357"/>
      <c r="Y375" s="357"/>
      <c r="Z375" s="357"/>
      <c r="AA375" s="357"/>
      <c r="AB375" s="357"/>
      <c r="AC375" s="357"/>
      <c r="AD375" s="357"/>
      <c r="AE375" s="357"/>
      <c r="AF375" s="357"/>
      <c r="AG375" s="357"/>
      <c r="AH375" s="357"/>
      <c r="AI375" s="357"/>
      <c r="AJ375" s="357"/>
      <c r="AK375" s="357"/>
      <c r="AL375" s="357"/>
      <c r="AM375" s="357"/>
      <c r="AN375" s="357"/>
      <c r="AO375" s="357"/>
      <c r="AP375" s="357"/>
      <c r="AQ375" s="357"/>
      <c r="AR375" s="357"/>
      <c r="AS375" s="357"/>
      <c r="AT375" s="357"/>
      <c r="AU375" s="357"/>
      <c r="AV375" s="357"/>
      <c r="AW375" s="357"/>
      <c r="AX375" s="357"/>
      <c r="AY375" s="357"/>
      <c r="AZ375" s="357"/>
      <c r="BA375" s="357"/>
      <c r="BB375" s="357"/>
      <c r="BC375" s="357"/>
      <c r="BD375" s="357"/>
    </row>
    <row r="376" spans="7:56">
      <c r="G376" s="357"/>
      <c r="H376" s="357"/>
      <c r="I376" s="357"/>
      <c r="J376" s="357"/>
      <c r="K376" s="357"/>
      <c r="L376" s="357"/>
      <c r="M376" s="357"/>
      <c r="N376" s="357"/>
      <c r="O376" s="357"/>
      <c r="P376" s="357"/>
      <c r="Q376" s="357"/>
      <c r="R376" s="357"/>
      <c r="S376" s="357"/>
      <c r="T376" s="357"/>
      <c r="U376" s="357"/>
      <c r="V376" s="357"/>
      <c r="W376" s="357"/>
      <c r="X376" s="357"/>
      <c r="Y376" s="357"/>
      <c r="Z376" s="357"/>
      <c r="AA376" s="357"/>
      <c r="AB376" s="357"/>
      <c r="AC376" s="357"/>
      <c r="AD376" s="357"/>
      <c r="AE376" s="357"/>
      <c r="AF376" s="357"/>
      <c r="AG376" s="357"/>
      <c r="AH376" s="357"/>
      <c r="AI376" s="357"/>
      <c r="AJ376" s="357"/>
      <c r="AK376" s="357"/>
      <c r="AL376" s="357"/>
      <c r="AM376" s="357"/>
      <c r="AN376" s="357"/>
      <c r="AO376" s="357"/>
      <c r="AP376" s="357"/>
      <c r="AQ376" s="357"/>
      <c r="AR376" s="357"/>
      <c r="AS376" s="357"/>
      <c r="AT376" s="357"/>
      <c r="AU376" s="357"/>
      <c r="AV376" s="357"/>
      <c r="AW376" s="357"/>
      <c r="AX376" s="357"/>
      <c r="AY376" s="357"/>
      <c r="AZ376" s="357"/>
      <c r="BA376" s="357"/>
      <c r="BB376" s="357"/>
      <c r="BC376" s="357"/>
      <c r="BD376" s="357"/>
    </row>
    <row r="377" spans="7:56">
      <c r="G377" s="357"/>
      <c r="H377" s="357"/>
      <c r="I377" s="357"/>
      <c r="J377" s="357"/>
      <c r="K377" s="357"/>
      <c r="L377" s="357"/>
      <c r="M377" s="357"/>
      <c r="N377" s="357"/>
      <c r="O377" s="357"/>
      <c r="P377" s="357"/>
      <c r="Q377" s="357"/>
      <c r="R377" s="357"/>
      <c r="S377" s="357"/>
      <c r="T377" s="357"/>
      <c r="U377" s="357"/>
      <c r="V377" s="357"/>
      <c r="W377" s="357"/>
      <c r="X377" s="357"/>
      <c r="Y377" s="357"/>
      <c r="Z377" s="357"/>
      <c r="AA377" s="357"/>
      <c r="AB377" s="357"/>
      <c r="AC377" s="357"/>
      <c r="AD377" s="357"/>
      <c r="AE377" s="357"/>
      <c r="AF377" s="357"/>
      <c r="AG377" s="357"/>
      <c r="AH377" s="357"/>
      <c r="AI377" s="357"/>
      <c r="AJ377" s="357"/>
      <c r="AK377" s="357"/>
      <c r="AL377" s="357"/>
      <c r="AM377" s="357"/>
      <c r="AN377" s="357"/>
      <c r="AO377" s="357"/>
      <c r="AP377" s="357"/>
      <c r="AQ377" s="357"/>
      <c r="AR377" s="357"/>
      <c r="AS377" s="357"/>
      <c r="AT377" s="357"/>
      <c r="AU377" s="357"/>
      <c r="AV377" s="357"/>
      <c r="AW377" s="357"/>
      <c r="AX377" s="357"/>
      <c r="AY377" s="357"/>
      <c r="AZ377" s="357"/>
      <c r="BA377" s="357"/>
      <c r="BB377" s="357"/>
      <c r="BC377" s="357"/>
      <c r="BD377" s="357"/>
    </row>
    <row r="378" spans="7:56">
      <c r="G378" s="357"/>
      <c r="H378" s="357"/>
      <c r="I378" s="357"/>
      <c r="J378" s="357"/>
      <c r="K378" s="357"/>
      <c r="L378" s="357"/>
      <c r="M378" s="357"/>
      <c r="N378" s="357"/>
      <c r="O378" s="357"/>
      <c r="P378" s="357"/>
      <c r="Q378" s="357"/>
      <c r="R378" s="357"/>
      <c r="S378" s="357"/>
      <c r="T378" s="357"/>
      <c r="U378" s="357"/>
      <c r="V378" s="357"/>
      <c r="W378" s="357"/>
      <c r="X378" s="357"/>
      <c r="Y378" s="357"/>
      <c r="Z378" s="357"/>
      <c r="AA378" s="357"/>
      <c r="AB378" s="357"/>
      <c r="AC378" s="357"/>
      <c r="AD378" s="357"/>
      <c r="AE378" s="357"/>
      <c r="AF378" s="357"/>
      <c r="AG378" s="357"/>
      <c r="AH378" s="357"/>
      <c r="AI378" s="357"/>
      <c r="AJ378" s="357"/>
      <c r="AK378" s="357"/>
      <c r="AL378" s="357"/>
      <c r="AM378" s="357"/>
      <c r="AN378" s="357"/>
      <c r="AO378" s="357"/>
      <c r="AP378" s="357"/>
      <c r="AQ378" s="357"/>
      <c r="AR378" s="357"/>
      <c r="AS378" s="357"/>
      <c r="AT378" s="357"/>
      <c r="AU378" s="357"/>
      <c r="AV378" s="357"/>
      <c r="AW378" s="357"/>
      <c r="AX378" s="357"/>
      <c r="AY378" s="357"/>
      <c r="AZ378" s="357"/>
      <c r="BA378" s="357"/>
      <c r="BB378" s="357"/>
      <c r="BC378" s="357"/>
      <c r="BD378" s="357"/>
    </row>
    <row r="379" spans="7:56">
      <c r="G379" s="357"/>
      <c r="H379" s="357"/>
      <c r="I379" s="357"/>
      <c r="J379" s="357"/>
      <c r="K379" s="357"/>
      <c r="L379" s="357"/>
      <c r="M379" s="357"/>
      <c r="N379" s="357"/>
      <c r="O379" s="357"/>
      <c r="P379" s="357"/>
      <c r="Q379" s="357"/>
      <c r="R379" s="357"/>
      <c r="S379" s="357"/>
      <c r="T379" s="357"/>
      <c r="U379" s="357"/>
      <c r="V379" s="357"/>
      <c r="W379" s="357"/>
      <c r="X379" s="357"/>
      <c r="Y379" s="357"/>
      <c r="Z379" s="357"/>
      <c r="AA379" s="357"/>
      <c r="AB379" s="357"/>
      <c r="AC379" s="357"/>
      <c r="AD379" s="357"/>
      <c r="AE379" s="357"/>
      <c r="AF379" s="357"/>
      <c r="AG379" s="357"/>
      <c r="AH379" s="357"/>
      <c r="AI379" s="357"/>
      <c r="AJ379" s="357"/>
      <c r="AK379" s="357"/>
      <c r="AL379" s="357"/>
      <c r="AM379" s="357"/>
      <c r="AN379" s="357"/>
      <c r="AO379" s="357"/>
      <c r="AP379" s="357"/>
      <c r="AQ379" s="357"/>
      <c r="AR379" s="357"/>
      <c r="AS379" s="357"/>
      <c r="AT379" s="357"/>
      <c r="AU379" s="357"/>
      <c r="AV379" s="357"/>
      <c r="AW379" s="357"/>
      <c r="AX379" s="357"/>
      <c r="AY379" s="357"/>
      <c r="AZ379" s="357"/>
      <c r="BA379" s="357"/>
      <c r="BB379" s="357"/>
      <c r="BC379" s="357"/>
      <c r="BD379" s="357"/>
    </row>
    <row r="380" spans="7:56">
      <c r="G380" s="357"/>
      <c r="H380" s="357"/>
      <c r="I380" s="357"/>
      <c r="J380" s="357"/>
      <c r="K380" s="357"/>
      <c r="L380" s="357"/>
      <c r="M380" s="357"/>
      <c r="N380" s="357"/>
      <c r="O380" s="357"/>
      <c r="P380" s="357"/>
      <c r="Q380" s="357"/>
      <c r="R380" s="357"/>
      <c r="S380" s="357"/>
      <c r="T380" s="357"/>
      <c r="U380" s="357"/>
      <c r="V380" s="357"/>
      <c r="W380" s="357"/>
      <c r="X380" s="357"/>
      <c r="Y380" s="357"/>
      <c r="Z380" s="357"/>
      <c r="AA380" s="357"/>
      <c r="AB380" s="357"/>
      <c r="AC380" s="357"/>
      <c r="AD380" s="357"/>
      <c r="AE380" s="357"/>
      <c r="AF380" s="357"/>
      <c r="AG380" s="357"/>
      <c r="AH380" s="357"/>
      <c r="AI380" s="357"/>
      <c r="AJ380" s="357"/>
      <c r="AK380" s="357"/>
      <c r="AL380" s="357"/>
      <c r="AM380" s="357"/>
      <c r="AN380" s="357"/>
      <c r="AO380" s="357"/>
      <c r="AP380" s="357"/>
      <c r="AQ380" s="357"/>
      <c r="AR380" s="357"/>
      <c r="AS380" s="357"/>
      <c r="AT380" s="357"/>
      <c r="AU380" s="357"/>
      <c r="AV380" s="357"/>
      <c r="AW380" s="357"/>
      <c r="AX380" s="357"/>
      <c r="AY380" s="357"/>
      <c r="AZ380" s="357"/>
      <c r="BA380" s="357"/>
      <c r="BB380" s="357"/>
      <c r="BC380" s="357"/>
      <c r="BD380" s="357"/>
    </row>
    <row r="381" spans="7:56">
      <c r="G381" s="357"/>
      <c r="H381" s="357"/>
      <c r="I381" s="357"/>
      <c r="J381" s="357"/>
      <c r="K381" s="357"/>
      <c r="L381" s="357"/>
      <c r="M381" s="357"/>
      <c r="N381" s="357"/>
      <c r="O381" s="357"/>
      <c r="P381" s="357"/>
      <c r="Q381" s="357"/>
      <c r="R381" s="357"/>
      <c r="S381" s="357"/>
      <c r="T381" s="357"/>
      <c r="U381" s="357"/>
      <c r="V381" s="357"/>
      <c r="W381" s="357"/>
      <c r="X381" s="357"/>
      <c r="Y381" s="357"/>
      <c r="Z381" s="357"/>
      <c r="AA381" s="357"/>
      <c r="AB381" s="357"/>
      <c r="AC381" s="357"/>
      <c r="AD381" s="357"/>
      <c r="AE381" s="357"/>
      <c r="AF381" s="357"/>
      <c r="AG381" s="357"/>
      <c r="AH381" s="357"/>
      <c r="AI381" s="357"/>
      <c r="AJ381" s="357"/>
      <c r="AK381" s="357"/>
      <c r="AL381" s="357"/>
      <c r="AM381" s="357"/>
      <c r="AN381" s="357"/>
      <c r="AO381" s="357"/>
      <c r="AP381" s="357"/>
      <c r="AQ381" s="357"/>
      <c r="AR381" s="357"/>
      <c r="AS381" s="357"/>
      <c r="AT381" s="357"/>
      <c r="AU381" s="357"/>
      <c r="AV381" s="357"/>
      <c r="AW381" s="357"/>
      <c r="AX381" s="357"/>
      <c r="AY381" s="357"/>
      <c r="AZ381" s="357"/>
      <c r="BA381" s="357"/>
      <c r="BB381" s="357"/>
      <c r="BC381" s="357"/>
      <c r="BD381" s="357"/>
    </row>
    <row r="382" spans="7:56">
      <c r="G382" s="357"/>
      <c r="H382" s="357"/>
      <c r="I382" s="357"/>
      <c r="J382" s="357"/>
      <c r="K382" s="357"/>
      <c r="L382" s="357"/>
      <c r="M382" s="357"/>
      <c r="N382" s="357"/>
      <c r="O382" s="357"/>
      <c r="P382" s="357"/>
      <c r="Q382" s="357"/>
      <c r="R382" s="357"/>
      <c r="S382" s="357"/>
      <c r="T382" s="357"/>
      <c r="U382" s="357"/>
      <c r="V382" s="357"/>
      <c r="W382" s="357"/>
      <c r="X382" s="357"/>
      <c r="Y382" s="357"/>
      <c r="Z382" s="357"/>
      <c r="AA382" s="357"/>
      <c r="AB382" s="357"/>
      <c r="AC382" s="357"/>
      <c r="AD382" s="357"/>
      <c r="AE382" s="357"/>
      <c r="AF382" s="357"/>
      <c r="AG382" s="357"/>
      <c r="AH382" s="357"/>
      <c r="AI382" s="357"/>
      <c r="AJ382" s="357"/>
      <c r="AK382" s="357"/>
      <c r="AL382" s="357"/>
      <c r="AM382" s="357"/>
      <c r="AN382" s="357"/>
      <c r="AO382" s="357"/>
      <c r="AP382" s="357"/>
      <c r="AQ382" s="357"/>
      <c r="AR382" s="357"/>
      <c r="AS382" s="357"/>
      <c r="AT382" s="357"/>
      <c r="AU382" s="357"/>
      <c r="AV382" s="357"/>
      <c r="AW382" s="357"/>
      <c r="AX382" s="357"/>
      <c r="AY382" s="357"/>
      <c r="AZ382" s="357"/>
      <c r="BA382" s="357"/>
      <c r="BB382" s="357"/>
      <c r="BC382" s="357"/>
      <c r="BD382" s="357"/>
    </row>
    <row r="383" spans="7:56">
      <c r="G383" s="357"/>
      <c r="H383" s="357"/>
      <c r="I383" s="357"/>
      <c r="J383" s="357"/>
      <c r="K383" s="357"/>
      <c r="L383" s="357"/>
      <c r="M383" s="357"/>
      <c r="N383" s="357"/>
      <c r="O383" s="357"/>
      <c r="P383" s="357"/>
      <c r="Q383" s="357"/>
      <c r="R383" s="357"/>
      <c r="S383" s="357"/>
      <c r="T383" s="357"/>
      <c r="U383" s="357"/>
      <c r="V383" s="357"/>
      <c r="W383" s="357"/>
      <c r="X383" s="357"/>
      <c r="Y383" s="357"/>
      <c r="Z383" s="357"/>
      <c r="AA383" s="357"/>
      <c r="AB383" s="357"/>
      <c r="AC383" s="357"/>
      <c r="AD383" s="357"/>
      <c r="AE383" s="357"/>
      <c r="AF383" s="357"/>
      <c r="AG383" s="357"/>
      <c r="AH383" s="357"/>
      <c r="AI383" s="357"/>
      <c r="AJ383" s="357"/>
      <c r="AK383" s="357"/>
      <c r="AL383" s="357"/>
      <c r="AM383" s="357"/>
      <c r="AN383" s="357"/>
      <c r="AO383" s="357"/>
      <c r="AP383" s="357"/>
      <c r="AQ383" s="357"/>
      <c r="AR383" s="357"/>
      <c r="AS383" s="357"/>
      <c r="AT383" s="357"/>
      <c r="AU383" s="357"/>
      <c r="AV383" s="357"/>
      <c r="AW383" s="357"/>
      <c r="AX383" s="357"/>
      <c r="AY383" s="357"/>
      <c r="AZ383" s="357"/>
      <c r="BA383" s="357"/>
      <c r="BB383" s="357"/>
      <c r="BC383" s="357"/>
      <c r="BD383" s="357"/>
    </row>
    <row r="384" spans="7:56">
      <c r="G384" s="357"/>
      <c r="H384" s="357"/>
      <c r="I384" s="357"/>
      <c r="J384" s="357"/>
      <c r="K384" s="357"/>
      <c r="L384" s="357"/>
      <c r="M384" s="357"/>
      <c r="N384" s="357"/>
      <c r="O384" s="357"/>
      <c r="P384" s="357"/>
      <c r="Q384" s="357"/>
      <c r="R384" s="357"/>
      <c r="S384" s="357"/>
      <c r="T384" s="357"/>
      <c r="U384" s="357"/>
      <c r="V384" s="357"/>
      <c r="W384" s="357"/>
      <c r="X384" s="357"/>
      <c r="Y384" s="357"/>
      <c r="Z384" s="357"/>
      <c r="AA384" s="357"/>
      <c r="AB384" s="357"/>
      <c r="AC384" s="357"/>
      <c r="AD384" s="357"/>
      <c r="AE384" s="357"/>
      <c r="AF384" s="357"/>
      <c r="AG384" s="357"/>
      <c r="AH384" s="357"/>
      <c r="AI384" s="357"/>
      <c r="AJ384" s="357"/>
      <c r="AK384" s="357"/>
      <c r="AL384" s="357"/>
      <c r="AM384" s="357"/>
      <c r="AN384" s="357"/>
      <c r="AO384" s="357"/>
      <c r="AP384" s="357"/>
      <c r="AQ384" s="357"/>
      <c r="AR384" s="357"/>
      <c r="AS384" s="357"/>
      <c r="AT384" s="357"/>
      <c r="AU384" s="357"/>
      <c r="AV384" s="357"/>
      <c r="AW384" s="357"/>
      <c r="AX384" s="357"/>
      <c r="AY384" s="357"/>
      <c r="AZ384" s="357"/>
      <c r="BA384" s="357"/>
      <c r="BB384" s="357"/>
      <c r="BC384" s="357"/>
      <c r="BD384" s="357"/>
    </row>
    <row r="385" spans="7:56">
      <c r="G385" s="357"/>
      <c r="H385" s="357"/>
      <c r="I385" s="357"/>
      <c r="J385" s="357"/>
      <c r="K385" s="357"/>
      <c r="L385" s="357"/>
      <c r="M385" s="357"/>
      <c r="N385" s="357"/>
      <c r="O385" s="357"/>
      <c r="P385" s="357"/>
      <c r="Q385" s="357"/>
      <c r="R385" s="357"/>
      <c r="S385" s="357"/>
      <c r="T385" s="357"/>
      <c r="U385" s="357"/>
      <c r="V385" s="357"/>
      <c r="W385" s="357"/>
      <c r="X385" s="357"/>
      <c r="Y385" s="357"/>
      <c r="Z385" s="357"/>
      <c r="AA385" s="357"/>
      <c r="AB385" s="357"/>
      <c r="AC385" s="357"/>
      <c r="AD385" s="357"/>
      <c r="AE385" s="357"/>
      <c r="AF385" s="357"/>
      <c r="AG385" s="357"/>
      <c r="AH385" s="357"/>
      <c r="AI385" s="357"/>
      <c r="AJ385" s="357"/>
      <c r="AK385" s="357"/>
      <c r="AL385" s="357"/>
      <c r="AM385" s="357"/>
      <c r="AN385" s="357"/>
      <c r="AO385" s="357"/>
      <c r="AP385" s="357"/>
      <c r="AQ385" s="357"/>
      <c r="AR385" s="357"/>
      <c r="AS385" s="357"/>
      <c r="AT385" s="357"/>
      <c r="AU385" s="357"/>
      <c r="AV385" s="357"/>
      <c r="AW385" s="357"/>
      <c r="AX385" s="357"/>
      <c r="AY385" s="357"/>
      <c r="AZ385" s="357"/>
      <c r="BA385" s="357"/>
      <c r="BB385" s="357"/>
      <c r="BC385" s="357"/>
      <c r="BD385" s="357"/>
    </row>
    <row r="386" spans="7:56">
      <c r="G386" s="357"/>
      <c r="H386" s="357"/>
      <c r="I386" s="357"/>
      <c r="J386" s="357"/>
      <c r="K386" s="357"/>
      <c r="L386" s="357"/>
      <c r="M386" s="357"/>
      <c r="N386" s="357"/>
      <c r="O386" s="357"/>
      <c r="P386" s="357"/>
      <c r="Q386" s="357"/>
      <c r="R386" s="357"/>
      <c r="S386" s="357"/>
      <c r="T386" s="357"/>
      <c r="U386" s="357"/>
      <c r="V386" s="357"/>
      <c r="W386" s="357"/>
      <c r="X386" s="357"/>
      <c r="Y386" s="357"/>
      <c r="Z386" s="357"/>
      <c r="AA386" s="357"/>
      <c r="AB386" s="357"/>
      <c r="AC386" s="357"/>
      <c r="AD386" s="357"/>
      <c r="AE386" s="357"/>
      <c r="AF386" s="357"/>
      <c r="AG386" s="357"/>
      <c r="AH386" s="357"/>
      <c r="AI386" s="357"/>
      <c r="AJ386" s="357"/>
      <c r="AK386" s="357"/>
      <c r="AL386" s="357"/>
      <c r="AM386" s="357"/>
      <c r="AN386" s="357"/>
      <c r="AO386" s="357"/>
      <c r="AP386" s="357"/>
      <c r="AQ386" s="357"/>
      <c r="AR386" s="357"/>
      <c r="AS386" s="357"/>
      <c r="AT386" s="357"/>
      <c r="AU386" s="357"/>
      <c r="AV386" s="357"/>
      <c r="AW386" s="357"/>
      <c r="AX386" s="357"/>
      <c r="AY386" s="357"/>
      <c r="AZ386" s="357"/>
      <c r="BA386" s="357"/>
      <c r="BB386" s="357"/>
      <c r="BC386" s="357"/>
      <c r="BD386" s="357"/>
    </row>
    <row r="387" spans="7:56">
      <c r="G387" s="357"/>
      <c r="H387" s="357"/>
      <c r="I387" s="357"/>
      <c r="J387" s="357"/>
      <c r="K387" s="357"/>
      <c r="L387" s="357"/>
      <c r="M387" s="357"/>
      <c r="N387" s="357"/>
      <c r="O387" s="357"/>
      <c r="P387" s="357"/>
      <c r="Q387" s="357"/>
      <c r="R387" s="357"/>
      <c r="S387" s="357"/>
      <c r="T387" s="357"/>
      <c r="U387" s="357"/>
      <c r="V387" s="357"/>
      <c r="W387" s="357"/>
      <c r="X387" s="357"/>
      <c r="Y387" s="357"/>
      <c r="Z387" s="357"/>
      <c r="AA387" s="357"/>
      <c r="AB387" s="357"/>
      <c r="AC387" s="357"/>
      <c r="AD387" s="357"/>
      <c r="AE387" s="357"/>
      <c r="AF387" s="357"/>
      <c r="AG387" s="357"/>
      <c r="AH387" s="357"/>
      <c r="AI387" s="357"/>
      <c r="AJ387" s="357"/>
      <c r="AK387" s="357"/>
      <c r="AL387" s="357"/>
      <c r="AM387" s="357"/>
      <c r="AN387" s="357"/>
      <c r="AO387" s="357"/>
      <c r="AP387" s="357"/>
      <c r="AQ387" s="357"/>
      <c r="AR387" s="357"/>
      <c r="AS387" s="357"/>
      <c r="AT387" s="357"/>
      <c r="AU387" s="357"/>
      <c r="AV387" s="357"/>
      <c r="AW387" s="357"/>
      <c r="AX387" s="357"/>
      <c r="AY387" s="357"/>
      <c r="AZ387" s="357"/>
      <c r="BA387" s="357"/>
      <c r="BB387" s="357"/>
      <c r="BC387" s="357"/>
      <c r="BD387" s="357"/>
    </row>
    <row r="388" spans="7:56">
      <c r="G388" s="357"/>
      <c r="H388" s="357"/>
      <c r="I388" s="357"/>
      <c r="J388" s="357"/>
      <c r="K388" s="357"/>
      <c r="L388" s="357"/>
      <c r="M388" s="357"/>
      <c r="N388" s="357"/>
      <c r="O388" s="357"/>
      <c r="P388" s="357"/>
      <c r="Q388" s="357"/>
      <c r="R388" s="357"/>
      <c r="S388" s="357"/>
      <c r="T388" s="357"/>
      <c r="U388" s="357"/>
      <c r="V388" s="357"/>
      <c r="W388" s="357"/>
      <c r="X388" s="357"/>
      <c r="Y388" s="357"/>
      <c r="Z388" s="357"/>
      <c r="AA388" s="357"/>
      <c r="AB388" s="357"/>
      <c r="AC388" s="357"/>
      <c r="AD388" s="357"/>
      <c r="AE388" s="357"/>
      <c r="AF388" s="357"/>
      <c r="AG388" s="357"/>
      <c r="AH388" s="357"/>
      <c r="AI388" s="357"/>
      <c r="AJ388" s="357"/>
      <c r="AK388" s="357"/>
      <c r="AL388" s="357"/>
      <c r="AM388" s="357"/>
      <c r="AN388" s="357"/>
      <c r="AO388" s="357"/>
      <c r="AP388" s="357"/>
      <c r="AQ388" s="357"/>
      <c r="AR388" s="357"/>
      <c r="AS388" s="357"/>
      <c r="AT388" s="357"/>
      <c r="AU388" s="357"/>
      <c r="AV388" s="357"/>
      <c r="AW388" s="357"/>
      <c r="AX388" s="357"/>
      <c r="AY388" s="357"/>
      <c r="AZ388" s="357"/>
      <c r="BA388" s="357"/>
      <c r="BB388" s="357"/>
      <c r="BC388" s="357"/>
      <c r="BD388" s="357"/>
    </row>
    <row r="389" spans="7:56">
      <c r="G389" s="357"/>
      <c r="H389" s="357"/>
      <c r="I389" s="357"/>
      <c r="J389" s="357"/>
      <c r="K389" s="357"/>
      <c r="L389" s="357"/>
      <c r="M389" s="357"/>
      <c r="N389" s="357"/>
      <c r="O389" s="357"/>
      <c r="P389" s="357"/>
      <c r="Q389" s="357"/>
      <c r="R389" s="357"/>
      <c r="S389" s="357"/>
      <c r="T389" s="357"/>
      <c r="U389" s="357"/>
      <c r="V389" s="357"/>
      <c r="W389" s="357"/>
      <c r="X389" s="357"/>
      <c r="Y389" s="357"/>
      <c r="Z389" s="357"/>
      <c r="AA389" s="357"/>
      <c r="AB389" s="357"/>
      <c r="AC389" s="357"/>
      <c r="AD389" s="357"/>
      <c r="AE389" s="357"/>
      <c r="AF389" s="357"/>
      <c r="AG389" s="357"/>
      <c r="AH389" s="357"/>
      <c r="AI389" s="357"/>
      <c r="AJ389" s="357"/>
      <c r="AK389" s="357"/>
      <c r="AL389" s="357"/>
      <c r="AM389" s="357"/>
      <c r="AN389" s="357"/>
      <c r="AO389" s="357"/>
      <c r="AP389" s="357"/>
      <c r="AQ389" s="357"/>
      <c r="AR389" s="357"/>
      <c r="AS389" s="357"/>
      <c r="AT389" s="357"/>
      <c r="AU389" s="357"/>
      <c r="AV389" s="357"/>
      <c r="AW389" s="357"/>
      <c r="AX389" s="357"/>
      <c r="AY389" s="357"/>
      <c r="AZ389" s="357"/>
      <c r="BA389" s="357"/>
      <c r="BB389" s="357"/>
      <c r="BC389" s="357"/>
      <c r="BD389" s="357"/>
    </row>
    <row r="390" spans="7:56">
      <c r="G390" s="357"/>
      <c r="H390" s="357"/>
      <c r="I390" s="357"/>
      <c r="J390" s="357"/>
      <c r="K390" s="357"/>
      <c r="L390" s="357"/>
      <c r="M390" s="357"/>
      <c r="N390" s="357"/>
      <c r="O390" s="357"/>
      <c r="P390" s="357"/>
      <c r="Q390" s="357"/>
      <c r="R390" s="357"/>
      <c r="S390" s="357"/>
      <c r="T390" s="357"/>
      <c r="U390" s="357"/>
      <c r="V390" s="357"/>
      <c r="W390" s="357"/>
      <c r="X390" s="357"/>
      <c r="Y390" s="357"/>
      <c r="Z390" s="357"/>
      <c r="AA390" s="357"/>
      <c r="AB390" s="357"/>
      <c r="AC390" s="357"/>
      <c r="AD390" s="357"/>
      <c r="AE390" s="357"/>
      <c r="AF390" s="357"/>
      <c r="AG390" s="357"/>
      <c r="AH390" s="357"/>
      <c r="AI390" s="357"/>
      <c r="AJ390" s="357"/>
      <c r="AK390" s="357"/>
      <c r="AL390" s="357"/>
      <c r="AM390" s="357"/>
      <c r="AN390" s="357"/>
      <c r="AO390" s="357"/>
      <c r="AP390" s="357"/>
      <c r="AQ390" s="357"/>
      <c r="AR390" s="357"/>
      <c r="AS390" s="357"/>
      <c r="AT390" s="357"/>
      <c r="AU390" s="357"/>
      <c r="AV390" s="357"/>
      <c r="AW390" s="357"/>
      <c r="AX390" s="357"/>
      <c r="AY390" s="357"/>
      <c r="AZ390" s="357"/>
      <c r="BA390" s="357"/>
      <c r="BB390" s="357"/>
      <c r="BC390" s="357"/>
      <c r="BD390" s="357"/>
    </row>
    <row r="391" spans="7:56">
      <c r="G391" s="357"/>
      <c r="H391" s="357"/>
      <c r="I391" s="357"/>
      <c r="J391" s="357"/>
      <c r="K391" s="357"/>
      <c r="L391" s="357"/>
      <c r="M391" s="357"/>
      <c r="N391" s="357"/>
      <c r="O391" s="357"/>
      <c r="P391" s="357"/>
      <c r="Q391" s="357"/>
      <c r="R391" s="357"/>
      <c r="S391" s="357"/>
      <c r="T391" s="357"/>
      <c r="U391" s="357"/>
      <c r="V391" s="357"/>
      <c r="W391" s="357"/>
      <c r="X391" s="357"/>
      <c r="Y391" s="357"/>
      <c r="Z391" s="357"/>
      <c r="AA391" s="357"/>
      <c r="AB391" s="357"/>
      <c r="AC391" s="357"/>
      <c r="AD391" s="357"/>
      <c r="AE391" s="357"/>
      <c r="AF391" s="357"/>
      <c r="AG391" s="357"/>
      <c r="AH391" s="357"/>
      <c r="AI391" s="357"/>
      <c r="AJ391" s="357"/>
      <c r="AK391" s="357"/>
      <c r="AL391" s="357"/>
      <c r="AM391" s="357"/>
      <c r="AN391" s="357"/>
      <c r="AO391" s="357"/>
      <c r="AP391" s="357"/>
      <c r="AQ391" s="357"/>
      <c r="AR391" s="357"/>
      <c r="AS391" s="357"/>
      <c r="AT391" s="357"/>
      <c r="AU391" s="357"/>
      <c r="AV391" s="357"/>
      <c r="AW391" s="357"/>
      <c r="AX391" s="357"/>
      <c r="AY391" s="357"/>
      <c r="AZ391" s="357"/>
      <c r="BA391" s="357"/>
      <c r="BB391" s="357"/>
      <c r="BC391" s="357"/>
      <c r="BD391" s="357"/>
    </row>
    <row r="392" spans="7:56">
      <c r="G392" s="357"/>
      <c r="H392" s="357"/>
      <c r="I392" s="357"/>
      <c r="J392" s="357"/>
      <c r="K392" s="357"/>
      <c r="L392" s="357"/>
      <c r="M392" s="357"/>
      <c r="N392" s="357"/>
      <c r="O392" s="357"/>
      <c r="P392" s="357"/>
      <c r="Q392" s="357"/>
      <c r="R392" s="357"/>
      <c r="S392" s="357"/>
      <c r="T392" s="357"/>
      <c r="U392" s="357"/>
      <c r="V392" s="357"/>
      <c r="W392" s="357"/>
      <c r="X392" s="357"/>
      <c r="Y392" s="357"/>
      <c r="Z392" s="357"/>
      <c r="AA392" s="357"/>
      <c r="AB392" s="357"/>
      <c r="AC392" s="357"/>
      <c r="AD392" s="357"/>
      <c r="AE392" s="357"/>
      <c r="AF392" s="357"/>
      <c r="AG392" s="357"/>
      <c r="AH392" s="357"/>
      <c r="AI392" s="357"/>
      <c r="AJ392" s="357"/>
      <c r="AK392" s="357"/>
      <c r="AL392" s="357"/>
      <c r="AM392" s="357"/>
      <c r="AN392" s="357"/>
      <c r="AO392" s="357"/>
      <c r="AP392" s="357"/>
      <c r="AQ392" s="357"/>
      <c r="AR392" s="357"/>
      <c r="AS392" s="357"/>
      <c r="AT392" s="357"/>
      <c r="AU392" s="357"/>
      <c r="AV392" s="357"/>
      <c r="AW392" s="357"/>
      <c r="AX392" s="357"/>
      <c r="AY392" s="357"/>
      <c r="AZ392" s="357"/>
      <c r="BA392" s="357"/>
      <c r="BB392" s="357"/>
      <c r="BC392" s="357"/>
      <c r="BD392" s="357"/>
    </row>
    <row r="393" spans="7:56">
      <c r="G393" s="357"/>
      <c r="H393" s="357"/>
      <c r="I393" s="357"/>
      <c r="J393" s="357"/>
      <c r="K393" s="357"/>
      <c r="L393" s="357"/>
      <c r="M393" s="357"/>
      <c r="N393" s="357"/>
      <c r="O393" s="357"/>
      <c r="P393" s="357"/>
      <c r="Q393" s="357"/>
      <c r="R393" s="357"/>
      <c r="S393" s="357"/>
      <c r="T393" s="357"/>
      <c r="U393" s="357"/>
      <c r="V393" s="357"/>
      <c r="W393" s="357"/>
      <c r="X393" s="357"/>
      <c r="Y393" s="357"/>
      <c r="Z393" s="357"/>
      <c r="AA393" s="357"/>
      <c r="AB393" s="357"/>
      <c r="AC393" s="357"/>
      <c r="AD393" s="357"/>
      <c r="AE393" s="357"/>
      <c r="AF393" s="357"/>
      <c r="AG393" s="357"/>
      <c r="AH393" s="357"/>
      <c r="AI393" s="357"/>
      <c r="AJ393" s="357"/>
      <c r="AK393" s="357"/>
      <c r="AL393" s="357"/>
      <c r="AM393" s="357"/>
      <c r="AN393" s="357"/>
      <c r="AO393" s="357"/>
      <c r="AP393" s="357"/>
      <c r="AQ393" s="357"/>
      <c r="AR393" s="357"/>
      <c r="AS393" s="357"/>
      <c r="AT393" s="357"/>
      <c r="AU393" s="357"/>
      <c r="AV393" s="357"/>
      <c r="AW393" s="357"/>
      <c r="AX393" s="357"/>
      <c r="AY393" s="357"/>
      <c r="AZ393" s="357"/>
      <c r="BA393" s="357"/>
      <c r="BB393" s="357"/>
      <c r="BC393" s="357"/>
      <c r="BD393" s="357"/>
    </row>
    <row r="394" spans="7:56">
      <c r="G394" s="357"/>
      <c r="H394" s="357"/>
      <c r="I394" s="357"/>
      <c r="J394" s="357"/>
      <c r="K394" s="357"/>
      <c r="L394" s="357"/>
      <c r="M394" s="357"/>
      <c r="N394" s="357"/>
      <c r="O394" s="357"/>
      <c r="P394" s="357"/>
      <c r="Q394" s="357"/>
      <c r="R394" s="357"/>
      <c r="S394" s="357"/>
      <c r="T394" s="357"/>
      <c r="U394" s="357"/>
      <c r="V394" s="357"/>
      <c r="W394" s="357"/>
      <c r="X394" s="357"/>
      <c r="Y394" s="357"/>
      <c r="Z394" s="357"/>
      <c r="AA394" s="357"/>
      <c r="AB394" s="357"/>
      <c r="AC394" s="357"/>
      <c r="AD394" s="357"/>
      <c r="AE394" s="357"/>
      <c r="AF394" s="357"/>
      <c r="AG394" s="357"/>
      <c r="AH394" s="357"/>
      <c r="AI394" s="357"/>
      <c r="AJ394" s="357"/>
      <c r="AK394" s="357"/>
      <c r="AL394" s="357"/>
      <c r="AM394" s="357"/>
      <c r="AN394" s="357"/>
      <c r="AO394" s="357"/>
      <c r="AP394" s="357"/>
      <c r="AQ394" s="357"/>
      <c r="AR394" s="357"/>
      <c r="AS394" s="357"/>
      <c r="AT394" s="357"/>
      <c r="AU394" s="357"/>
      <c r="AV394" s="357"/>
      <c r="AW394" s="357"/>
      <c r="AX394" s="357"/>
      <c r="AY394" s="357"/>
      <c r="AZ394" s="357"/>
      <c r="BA394" s="357"/>
      <c r="BB394" s="357"/>
      <c r="BC394" s="357"/>
      <c r="BD394" s="357"/>
    </row>
    <row r="395" spans="7:56">
      <c r="G395" s="357"/>
      <c r="H395" s="357"/>
      <c r="I395" s="357"/>
      <c r="J395" s="357"/>
      <c r="K395" s="357"/>
      <c r="L395" s="357"/>
      <c r="M395" s="357"/>
      <c r="N395" s="357"/>
      <c r="O395" s="357"/>
      <c r="P395" s="357"/>
      <c r="Q395" s="357"/>
      <c r="R395" s="357"/>
      <c r="S395" s="357"/>
      <c r="T395" s="357"/>
      <c r="U395" s="357"/>
      <c r="V395" s="357"/>
      <c r="W395" s="357"/>
      <c r="X395" s="357"/>
      <c r="Y395" s="357"/>
      <c r="Z395" s="357"/>
      <c r="AA395" s="357"/>
      <c r="AB395" s="357"/>
      <c r="AC395" s="357"/>
      <c r="AD395" s="357"/>
      <c r="AE395" s="357"/>
      <c r="AF395" s="357"/>
      <c r="AG395" s="357"/>
      <c r="AH395" s="357"/>
      <c r="AI395" s="357"/>
      <c r="AJ395" s="357"/>
      <c r="AK395" s="357"/>
      <c r="AL395" s="357"/>
      <c r="AM395" s="357"/>
      <c r="AN395" s="357"/>
      <c r="AO395" s="357"/>
      <c r="AP395" s="357"/>
      <c r="AQ395" s="357"/>
      <c r="AR395" s="357"/>
      <c r="AS395" s="357"/>
      <c r="AT395" s="357"/>
      <c r="AU395" s="357"/>
      <c r="AV395" s="357"/>
      <c r="AW395" s="357"/>
      <c r="AX395" s="357"/>
      <c r="AY395" s="357"/>
      <c r="AZ395" s="357"/>
      <c r="BA395" s="357"/>
      <c r="BB395" s="357"/>
      <c r="BC395" s="357"/>
      <c r="BD395" s="357"/>
    </row>
    <row r="396" spans="7:56">
      <c r="G396" s="357"/>
      <c r="H396" s="357"/>
      <c r="I396" s="357"/>
      <c r="J396" s="357"/>
      <c r="K396" s="357"/>
      <c r="L396" s="357"/>
      <c r="M396" s="357"/>
      <c r="N396" s="357"/>
      <c r="O396" s="357"/>
      <c r="P396" s="357"/>
      <c r="Q396" s="357"/>
      <c r="R396" s="357"/>
      <c r="S396" s="357"/>
      <c r="T396" s="357"/>
      <c r="U396" s="357"/>
      <c r="V396" s="357"/>
      <c r="W396" s="357"/>
      <c r="X396" s="357"/>
      <c r="Y396" s="357"/>
      <c r="Z396" s="357"/>
      <c r="AA396" s="357"/>
      <c r="AB396" s="357"/>
      <c r="AC396" s="357"/>
      <c r="AD396" s="357"/>
      <c r="AE396" s="357"/>
      <c r="AF396" s="357"/>
      <c r="AG396" s="357"/>
      <c r="AH396" s="357"/>
      <c r="AI396" s="357"/>
      <c r="AJ396" s="357"/>
      <c r="AK396" s="357"/>
      <c r="AL396" s="357"/>
      <c r="AM396" s="357"/>
      <c r="AN396" s="357"/>
      <c r="AO396" s="357"/>
      <c r="AP396" s="357"/>
      <c r="AQ396" s="357"/>
      <c r="AR396" s="357"/>
      <c r="AS396" s="357"/>
      <c r="AT396" s="357"/>
      <c r="AU396" s="357"/>
      <c r="AV396" s="357"/>
      <c r="AW396" s="357"/>
      <c r="AX396" s="357"/>
      <c r="AY396" s="357"/>
      <c r="AZ396" s="357"/>
      <c r="BA396" s="357"/>
      <c r="BB396" s="357"/>
      <c r="BC396" s="357"/>
      <c r="BD396" s="357"/>
    </row>
    <row r="397" spans="7:56">
      <c r="G397" s="357"/>
      <c r="H397" s="357"/>
      <c r="I397" s="357"/>
      <c r="J397" s="357"/>
      <c r="K397" s="357"/>
      <c r="L397" s="357"/>
      <c r="M397" s="357"/>
      <c r="N397" s="357"/>
      <c r="O397" s="357"/>
      <c r="P397" s="357"/>
      <c r="Q397" s="357"/>
      <c r="R397" s="357"/>
      <c r="S397" s="357"/>
      <c r="T397" s="357"/>
      <c r="U397" s="357"/>
      <c r="V397" s="357"/>
      <c r="W397" s="357"/>
      <c r="X397" s="357"/>
      <c r="Y397" s="357"/>
      <c r="Z397" s="357"/>
      <c r="AA397" s="357"/>
      <c r="AB397" s="357"/>
      <c r="AC397" s="357"/>
      <c r="AD397" s="357"/>
      <c r="AE397" s="357"/>
      <c r="AF397" s="357"/>
      <c r="AG397" s="357"/>
      <c r="AH397" s="357"/>
      <c r="AI397" s="357"/>
      <c r="AJ397" s="357"/>
      <c r="AK397" s="357"/>
      <c r="AL397" s="357"/>
      <c r="AM397" s="357"/>
      <c r="AN397" s="357"/>
      <c r="AO397" s="357"/>
      <c r="AP397" s="357"/>
      <c r="AQ397" s="357"/>
      <c r="AR397" s="357"/>
      <c r="AS397" s="357"/>
      <c r="AT397" s="357"/>
      <c r="AU397" s="357"/>
      <c r="AV397" s="357"/>
      <c r="AW397" s="357"/>
      <c r="AX397" s="357"/>
      <c r="AY397" s="357"/>
      <c r="AZ397" s="357"/>
      <c r="BA397" s="357"/>
      <c r="BB397" s="357"/>
      <c r="BC397" s="357"/>
      <c r="BD397" s="357"/>
    </row>
    <row r="398" spans="7:56">
      <c r="G398" s="357"/>
      <c r="H398" s="357"/>
      <c r="I398" s="357"/>
      <c r="J398" s="357"/>
      <c r="K398" s="357"/>
      <c r="L398" s="357"/>
      <c r="M398" s="357"/>
      <c r="N398" s="357"/>
      <c r="O398" s="357"/>
      <c r="P398" s="357"/>
      <c r="Q398" s="357"/>
      <c r="R398" s="357"/>
      <c r="S398" s="357"/>
      <c r="T398" s="357"/>
      <c r="U398" s="357"/>
      <c r="V398" s="357"/>
      <c r="W398" s="357"/>
      <c r="X398" s="357"/>
      <c r="Y398" s="357"/>
      <c r="Z398" s="357"/>
      <c r="AA398" s="357"/>
      <c r="AB398" s="357"/>
      <c r="AC398" s="357"/>
      <c r="AD398" s="357"/>
      <c r="AE398" s="357"/>
      <c r="AF398" s="357"/>
      <c r="AG398" s="357"/>
      <c r="AH398" s="357"/>
      <c r="AI398" s="357"/>
      <c r="AJ398" s="357"/>
      <c r="AK398" s="357"/>
      <c r="AL398" s="357"/>
      <c r="AM398" s="357"/>
      <c r="AN398" s="357"/>
      <c r="AO398" s="357"/>
      <c r="AP398" s="357"/>
      <c r="AQ398" s="357"/>
      <c r="AR398" s="357"/>
      <c r="AS398" s="357"/>
      <c r="AT398" s="357"/>
      <c r="AU398" s="357"/>
      <c r="AV398" s="357"/>
      <c r="AW398" s="357"/>
      <c r="AX398" s="357"/>
      <c r="AY398" s="357"/>
      <c r="AZ398" s="357"/>
      <c r="BA398" s="357"/>
      <c r="BB398" s="357"/>
      <c r="BC398" s="357"/>
      <c r="BD398" s="357"/>
    </row>
    <row r="399" spans="7:56">
      <c r="G399" s="357"/>
      <c r="H399" s="357"/>
      <c r="I399" s="357"/>
      <c r="J399" s="357"/>
      <c r="K399" s="357"/>
      <c r="L399" s="357"/>
      <c r="M399" s="357"/>
      <c r="N399" s="357"/>
      <c r="O399" s="357"/>
      <c r="P399" s="357"/>
      <c r="Q399" s="357"/>
      <c r="R399" s="357"/>
      <c r="S399" s="357"/>
      <c r="T399" s="357"/>
      <c r="U399" s="357"/>
      <c r="V399" s="357"/>
      <c r="W399" s="357"/>
      <c r="X399" s="357"/>
      <c r="Y399" s="357"/>
      <c r="Z399" s="357"/>
      <c r="AA399" s="357"/>
      <c r="AB399" s="357"/>
      <c r="AC399" s="357"/>
      <c r="AD399" s="357"/>
      <c r="AE399" s="357"/>
      <c r="AF399" s="357"/>
      <c r="AG399" s="357"/>
      <c r="AH399" s="357"/>
      <c r="AI399" s="357"/>
      <c r="AJ399" s="357"/>
      <c r="AK399" s="357"/>
      <c r="AL399" s="357"/>
      <c r="AM399" s="357"/>
      <c r="AN399" s="357"/>
      <c r="AO399" s="357"/>
      <c r="AP399" s="357"/>
      <c r="AQ399" s="357"/>
      <c r="AR399" s="357"/>
      <c r="AS399" s="357"/>
      <c r="AT399" s="357"/>
      <c r="AU399" s="357"/>
      <c r="AV399" s="357"/>
      <c r="AW399" s="357"/>
      <c r="AX399" s="357"/>
      <c r="AY399" s="357"/>
      <c r="AZ399" s="357"/>
      <c r="BA399" s="357"/>
      <c r="BB399" s="357"/>
      <c r="BC399" s="357"/>
      <c r="BD399" s="357"/>
    </row>
    <row r="400" spans="7:56">
      <c r="G400" s="357"/>
      <c r="H400" s="357"/>
      <c r="I400" s="357"/>
      <c r="J400" s="357"/>
      <c r="K400" s="357"/>
      <c r="L400" s="357"/>
      <c r="M400" s="357"/>
      <c r="N400" s="357"/>
      <c r="O400" s="357"/>
      <c r="P400" s="357"/>
      <c r="Q400" s="357"/>
      <c r="R400" s="357"/>
      <c r="S400" s="357"/>
      <c r="T400" s="357"/>
      <c r="U400" s="357"/>
      <c r="V400" s="357"/>
      <c r="W400" s="357"/>
      <c r="X400" s="357"/>
      <c r="Y400" s="357"/>
      <c r="Z400" s="357"/>
      <c r="AA400" s="357"/>
      <c r="AB400" s="357"/>
      <c r="AC400" s="357"/>
      <c r="AD400" s="357"/>
      <c r="AE400" s="357"/>
      <c r="AF400" s="357"/>
      <c r="AG400" s="357"/>
      <c r="AH400" s="357"/>
      <c r="AI400" s="357"/>
      <c r="AJ400" s="357"/>
      <c r="AK400" s="357"/>
      <c r="AL400" s="357"/>
      <c r="AM400" s="357"/>
      <c r="AN400" s="357"/>
      <c r="AO400" s="357"/>
      <c r="AP400" s="357"/>
      <c r="AQ400" s="357"/>
      <c r="AR400" s="357"/>
      <c r="AS400" s="357"/>
      <c r="AT400" s="357"/>
      <c r="AU400" s="357"/>
      <c r="AV400" s="357"/>
      <c r="AW400" s="357"/>
      <c r="AX400" s="357"/>
      <c r="AY400" s="357"/>
      <c r="AZ400" s="357"/>
      <c r="BA400" s="357"/>
      <c r="BB400" s="357"/>
      <c r="BC400" s="357"/>
      <c r="BD400" s="357"/>
    </row>
    <row r="401" spans="7:56">
      <c r="G401" s="357"/>
      <c r="H401" s="357"/>
      <c r="I401" s="357"/>
      <c r="J401" s="357"/>
      <c r="K401" s="357"/>
      <c r="L401" s="357"/>
      <c r="M401" s="357"/>
      <c r="N401" s="357"/>
      <c r="O401" s="357"/>
      <c r="P401" s="357"/>
      <c r="Q401" s="357"/>
      <c r="R401" s="357"/>
      <c r="S401" s="357"/>
      <c r="T401" s="357"/>
      <c r="U401" s="357"/>
      <c r="V401" s="357"/>
      <c r="W401" s="357"/>
      <c r="X401" s="357"/>
      <c r="Y401" s="357"/>
      <c r="Z401" s="357"/>
      <c r="AA401" s="357"/>
      <c r="AB401" s="357"/>
      <c r="AC401" s="357"/>
      <c r="AD401" s="357"/>
      <c r="AE401" s="357"/>
      <c r="AF401" s="357"/>
      <c r="AG401" s="357"/>
      <c r="AH401" s="357"/>
      <c r="AI401" s="357"/>
      <c r="AJ401" s="357"/>
      <c r="AK401" s="357"/>
      <c r="AL401" s="357"/>
      <c r="AM401" s="357"/>
      <c r="AN401" s="357"/>
      <c r="AO401" s="357"/>
      <c r="AP401" s="357"/>
      <c r="AQ401" s="357"/>
      <c r="AR401" s="357"/>
      <c r="AS401" s="357"/>
      <c r="AT401" s="357"/>
      <c r="AU401" s="357"/>
      <c r="AV401" s="357"/>
      <c r="AW401" s="357"/>
      <c r="AX401" s="357"/>
      <c r="AY401" s="357"/>
      <c r="AZ401" s="357"/>
      <c r="BA401" s="357"/>
      <c r="BB401" s="357"/>
      <c r="BC401" s="357"/>
      <c r="BD401" s="357"/>
    </row>
    <row r="402" spans="7:56">
      <c r="G402" s="357"/>
      <c r="H402" s="357"/>
      <c r="I402" s="357"/>
      <c r="J402" s="357"/>
      <c r="K402" s="357"/>
      <c r="L402" s="357"/>
      <c r="M402" s="357"/>
      <c r="N402" s="357"/>
      <c r="O402" s="357"/>
      <c r="P402" s="357"/>
      <c r="Q402" s="357"/>
      <c r="R402" s="357"/>
      <c r="S402" s="357"/>
      <c r="T402" s="357"/>
      <c r="U402" s="357"/>
      <c r="V402" s="357"/>
      <c r="W402" s="357"/>
      <c r="X402" s="357"/>
      <c r="Y402" s="357"/>
      <c r="Z402" s="357"/>
      <c r="AA402" s="357"/>
      <c r="AB402" s="357"/>
      <c r="AC402" s="357"/>
      <c r="AD402" s="357"/>
      <c r="AE402" s="357"/>
      <c r="AF402" s="357"/>
      <c r="AG402" s="357"/>
      <c r="AH402" s="357"/>
      <c r="AI402" s="357"/>
      <c r="AJ402" s="357"/>
      <c r="AK402" s="357"/>
      <c r="AL402" s="357"/>
      <c r="AM402" s="357"/>
      <c r="AN402" s="357"/>
      <c r="AO402" s="357"/>
      <c r="AP402" s="357"/>
      <c r="AQ402" s="357"/>
      <c r="AR402" s="357"/>
      <c r="AS402" s="357"/>
      <c r="AT402" s="357"/>
      <c r="AU402" s="357"/>
      <c r="AV402" s="357"/>
      <c r="AW402" s="357"/>
      <c r="AX402" s="357"/>
      <c r="AY402" s="357"/>
      <c r="AZ402" s="357"/>
      <c r="BA402" s="357"/>
      <c r="BB402" s="357"/>
      <c r="BC402" s="357"/>
      <c r="BD402" s="357"/>
    </row>
    <row r="403" spans="7:56">
      <c r="G403" s="357"/>
      <c r="H403" s="357"/>
      <c r="I403" s="357"/>
      <c r="J403" s="357"/>
      <c r="K403" s="357"/>
      <c r="L403" s="357"/>
      <c r="M403" s="357"/>
      <c r="N403" s="357"/>
      <c r="O403" s="357"/>
      <c r="P403" s="357"/>
      <c r="Q403" s="357"/>
      <c r="R403" s="357"/>
      <c r="S403" s="357"/>
      <c r="T403" s="357"/>
      <c r="U403" s="357"/>
      <c r="V403" s="357"/>
      <c r="W403" s="357"/>
      <c r="X403" s="357"/>
      <c r="Y403" s="357"/>
      <c r="Z403" s="357"/>
      <c r="AA403" s="357"/>
      <c r="AB403" s="357"/>
      <c r="AC403" s="357"/>
      <c r="AD403" s="357"/>
      <c r="AE403" s="357"/>
      <c r="AF403" s="357"/>
      <c r="AG403" s="357"/>
      <c r="AH403" s="357"/>
      <c r="AI403" s="357"/>
      <c r="AJ403" s="357"/>
      <c r="AK403" s="357"/>
      <c r="AL403" s="357"/>
      <c r="AM403" s="357"/>
      <c r="AN403" s="357"/>
      <c r="AO403" s="357"/>
      <c r="AP403" s="357"/>
      <c r="AQ403" s="357"/>
      <c r="AR403" s="357"/>
      <c r="AS403" s="357"/>
      <c r="AT403" s="357"/>
      <c r="AU403" s="357"/>
      <c r="AV403" s="357"/>
      <c r="AW403" s="357"/>
      <c r="AX403" s="357"/>
      <c r="AY403" s="357"/>
      <c r="AZ403" s="357"/>
      <c r="BA403" s="357"/>
      <c r="BB403" s="357"/>
      <c r="BC403" s="357"/>
      <c r="BD403" s="357"/>
    </row>
    <row r="404" spans="7:56">
      <c r="G404" s="357"/>
      <c r="H404" s="357"/>
      <c r="I404" s="357"/>
      <c r="J404" s="357"/>
      <c r="K404" s="357"/>
      <c r="L404" s="357"/>
      <c r="M404" s="357"/>
      <c r="N404" s="357"/>
      <c r="O404" s="357"/>
      <c r="P404" s="357"/>
      <c r="Q404" s="357"/>
      <c r="R404" s="357"/>
      <c r="S404" s="357"/>
      <c r="T404" s="357"/>
      <c r="U404" s="357"/>
      <c r="V404" s="357"/>
      <c r="W404" s="357"/>
      <c r="X404" s="357"/>
      <c r="Y404" s="357"/>
      <c r="Z404" s="357"/>
      <c r="AA404" s="357"/>
      <c r="AB404" s="357"/>
      <c r="AC404" s="357"/>
      <c r="AD404" s="357"/>
      <c r="AE404" s="357"/>
      <c r="AF404" s="357"/>
      <c r="AG404" s="357"/>
      <c r="AH404" s="357"/>
      <c r="AI404" s="357"/>
      <c r="AJ404" s="357"/>
      <c r="AK404" s="357"/>
      <c r="AL404" s="357"/>
      <c r="AM404" s="357"/>
      <c r="AN404" s="357"/>
      <c r="AO404" s="357"/>
      <c r="AP404" s="357"/>
      <c r="AQ404" s="357"/>
      <c r="AR404" s="357"/>
      <c r="AS404" s="357"/>
      <c r="AT404" s="357"/>
      <c r="AU404" s="357"/>
      <c r="AV404" s="357"/>
      <c r="AW404" s="357"/>
      <c r="AX404" s="357"/>
      <c r="AY404" s="357"/>
      <c r="AZ404" s="357"/>
      <c r="BA404" s="357"/>
      <c r="BB404" s="357"/>
      <c r="BC404" s="357"/>
      <c r="BD404" s="357"/>
    </row>
    <row r="405" spans="7:56">
      <c r="G405" s="357"/>
      <c r="H405" s="357"/>
      <c r="I405" s="357"/>
      <c r="J405" s="357"/>
      <c r="K405" s="357"/>
      <c r="L405" s="357"/>
      <c r="M405" s="357"/>
      <c r="N405" s="357"/>
      <c r="O405" s="357"/>
      <c r="P405" s="357"/>
      <c r="Q405" s="357"/>
      <c r="R405" s="357"/>
      <c r="S405" s="357"/>
      <c r="T405" s="357"/>
      <c r="U405" s="357"/>
      <c r="V405" s="357"/>
      <c r="W405" s="357"/>
      <c r="X405" s="357"/>
      <c r="Y405" s="357"/>
      <c r="Z405" s="357"/>
      <c r="AA405" s="357"/>
      <c r="AB405" s="357"/>
      <c r="AC405" s="357"/>
      <c r="AD405" s="357"/>
      <c r="AE405" s="357"/>
      <c r="AF405" s="357"/>
      <c r="AG405" s="357"/>
      <c r="AH405" s="357"/>
      <c r="AI405" s="357"/>
      <c r="AJ405" s="357"/>
      <c r="AK405" s="357"/>
      <c r="AL405" s="357"/>
      <c r="AM405" s="357"/>
      <c r="AN405" s="357"/>
      <c r="AO405" s="357"/>
      <c r="AP405" s="357"/>
      <c r="AQ405" s="357"/>
      <c r="AR405" s="357"/>
      <c r="AS405" s="357"/>
      <c r="AT405" s="357"/>
      <c r="AU405" s="357"/>
      <c r="AV405" s="357"/>
      <c r="AW405" s="357"/>
      <c r="AX405" s="357"/>
      <c r="AY405" s="357"/>
      <c r="AZ405" s="357"/>
      <c r="BA405" s="357"/>
      <c r="BB405" s="357"/>
      <c r="BC405" s="357"/>
      <c r="BD405" s="357"/>
    </row>
    <row r="406" spans="7:56">
      <c r="G406" s="357"/>
      <c r="H406" s="357"/>
      <c r="I406" s="357"/>
      <c r="J406" s="357"/>
      <c r="K406" s="357"/>
      <c r="L406" s="357"/>
      <c r="M406" s="357"/>
      <c r="N406" s="357"/>
      <c r="O406" s="357"/>
      <c r="P406" s="357"/>
      <c r="Q406" s="357"/>
      <c r="R406" s="357"/>
      <c r="S406" s="357"/>
      <c r="T406" s="357"/>
      <c r="U406" s="357"/>
      <c r="V406" s="357"/>
      <c r="W406" s="357"/>
      <c r="X406" s="357"/>
      <c r="Y406" s="357"/>
      <c r="Z406" s="357"/>
      <c r="AA406" s="357"/>
      <c r="AB406" s="357"/>
      <c r="AC406" s="357"/>
      <c r="AD406" s="357"/>
      <c r="AE406" s="357"/>
      <c r="AF406" s="357"/>
      <c r="AG406" s="357"/>
      <c r="AH406" s="357"/>
      <c r="AI406" s="357"/>
      <c r="AJ406" s="357"/>
      <c r="AK406" s="357"/>
      <c r="AL406" s="357"/>
      <c r="AM406" s="357"/>
      <c r="AN406" s="357"/>
      <c r="AO406" s="357"/>
      <c r="AP406" s="357"/>
      <c r="AQ406" s="357"/>
      <c r="AR406" s="357"/>
      <c r="AS406" s="357"/>
      <c r="AT406" s="357"/>
      <c r="AU406" s="357"/>
      <c r="AV406" s="357"/>
      <c r="AW406" s="357"/>
      <c r="AX406" s="357"/>
      <c r="AY406" s="357"/>
      <c r="AZ406" s="357"/>
      <c r="BA406" s="357"/>
      <c r="BB406" s="357"/>
      <c r="BC406" s="357"/>
      <c r="BD406" s="357"/>
    </row>
    <row r="407" spans="7:56">
      <c r="G407" s="357"/>
      <c r="H407" s="357"/>
      <c r="I407" s="357"/>
      <c r="J407" s="357"/>
      <c r="K407" s="357"/>
      <c r="L407" s="357"/>
      <c r="M407" s="357"/>
      <c r="N407" s="357"/>
      <c r="O407" s="357"/>
      <c r="P407" s="357"/>
      <c r="Q407" s="357"/>
      <c r="R407" s="357"/>
      <c r="S407" s="357"/>
      <c r="T407" s="357"/>
      <c r="U407" s="357"/>
      <c r="V407" s="357"/>
      <c r="W407" s="357"/>
      <c r="X407" s="357"/>
      <c r="Y407" s="357"/>
      <c r="Z407" s="357"/>
      <c r="AA407" s="357"/>
      <c r="AB407" s="357"/>
      <c r="AC407" s="357"/>
      <c r="AD407" s="357"/>
      <c r="AE407" s="357"/>
      <c r="AF407" s="357"/>
      <c r="AG407" s="357"/>
      <c r="AH407" s="357"/>
      <c r="AI407" s="357"/>
      <c r="AJ407" s="357"/>
      <c r="AK407" s="357"/>
      <c r="AL407" s="357"/>
      <c r="AM407" s="357"/>
      <c r="AN407" s="357"/>
      <c r="AO407" s="357"/>
      <c r="AP407" s="357"/>
      <c r="AQ407" s="357"/>
      <c r="AR407" s="357"/>
      <c r="AS407" s="357"/>
      <c r="AT407" s="357"/>
      <c r="AU407" s="357"/>
      <c r="AV407" s="357"/>
      <c r="AW407" s="357"/>
      <c r="AX407" s="357"/>
      <c r="AY407" s="357"/>
      <c r="AZ407" s="357"/>
      <c r="BA407" s="357"/>
      <c r="BB407" s="357"/>
      <c r="BC407" s="357"/>
      <c r="BD407" s="357"/>
    </row>
    <row r="408" spans="7:56">
      <c r="G408" s="357"/>
      <c r="H408" s="357"/>
      <c r="I408" s="357"/>
      <c r="J408" s="357"/>
      <c r="K408" s="357"/>
      <c r="L408" s="357"/>
      <c r="M408" s="357"/>
      <c r="N408" s="357"/>
      <c r="O408" s="357"/>
      <c r="P408" s="357"/>
      <c r="Q408" s="357"/>
      <c r="R408" s="357"/>
      <c r="S408" s="357"/>
      <c r="T408" s="357"/>
      <c r="U408" s="357"/>
      <c r="V408" s="357"/>
      <c r="W408" s="357"/>
      <c r="X408" s="357"/>
      <c r="Y408" s="357"/>
      <c r="Z408" s="357"/>
      <c r="AA408" s="357"/>
      <c r="AB408" s="357"/>
      <c r="AC408" s="357"/>
      <c r="AD408" s="357"/>
      <c r="AE408" s="357"/>
      <c r="AF408" s="357"/>
      <c r="AG408" s="357"/>
      <c r="AH408" s="357"/>
      <c r="AI408" s="357"/>
      <c r="AJ408" s="357"/>
      <c r="AK408" s="357"/>
      <c r="AL408" s="357"/>
      <c r="AM408" s="357"/>
      <c r="AN408" s="357"/>
      <c r="AO408" s="357"/>
      <c r="AP408" s="357"/>
      <c r="AQ408" s="357"/>
      <c r="AR408" s="357"/>
      <c r="AS408" s="357"/>
      <c r="AT408" s="357"/>
      <c r="AU408" s="357"/>
      <c r="AV408" s="357"/>
      <c r="AW408" s="357"/>
      <c r="AX408" s="357"/>
      <c r="AY408" s="357"/>
      <c r="AZ408" s="357"/>
      <c r="BA408" s="357"/>
      <c r="BB408" s="357"/>
      <c r="BC408" s="357"/>
      <c r="BD408" s="357"/>
    </row>
    <row r="409" spans="7:56">
      <c r="G409" s="357"/>
      <c r="H409" s="357"/>
      <c r="I409" s="357"/>
      <c r="J409" s="357"/>
      <c r="K409" s="357"/>
      <c r="L409" s="357"/>
      <c r="M409" s="357"/>
      <c r="N409" s="357"/>
      <c r="O409" s="357"/>
      <c r="P409" s="357"/>
      <c r="Q409" s="357"/>
      <c r="R409" s="357"/>
      <c r="S409" s="357"/>
      <c r="T409" s="357"/>
      <c r="U409" s="357"/>
      <c r="V409" s="357"/>
      <c r="W409" s="357"/>
      <c r="X409" s="357"/>
      <c r="Y409" s="357"/>
      <c r="Z409" s="357"/>
      <c r="AA409" s="357"/>
      <c r="AB409" s="357"/>
      <c r="AC409" s="357"/>
      <c r="AD409" s="357"/>
      <c r="AE409" s="357"/>
      <c r="AF409" s="357"/>
      <c r="AG409" s="357"/>
      <c r="AH409" s="357"/>
      <c r="AI409" s="357"/>
      <c r="AJ409" s="357"/>
      <c r="AK409" s="357"/>
      <c r="AL409" s="357"/>
      <c r="AM409" s="357"/>
      <c r="AN409" s="357"/>
      <c r="AO409" s="357"/>
      <c r="AP409" s="357"/>
      <c r="AQ409" s="357"/>
      <c r="AR409" s="357"/>
      <c r="AS409" s="357"/>
      <c r="AT409" s="357"/>
      <c r="AU409" s="357"/>
      <c r="AV409" s="357"/>
      <c r="AW409" s="357"/>
      <c r="AX409" s="357"/>
      <c r="AY409" s="357"/>
      <c r="AZ409" s="357"/>
      <c r="BA409" s="357"/>
      <c r="BB409" s="357"/>
      <c r="BC409" s="357"/>
      <c r="BD409" s="357"/>
    </row>
    <row r="410" spans="7:56">
      <c r="G410" s="357"/>
      <c r="H410" s="357"/>
      <c r="I410" s="357"/>
      <c r="J410" s="357"/>
      <c r="K410" s="357"/>
      <c r="L410" s="357"/>
      <c r="M410" s="357"/>
      <c r="N410" s="357"/>
      <c r="O410" s="357"/>
      <c r="P410" s="357"/>
      <c r="Q410" s="357"/>
      <c r="R410" s="357"/>
      <c r="S410" s="357"/>
      <c r="T410" s="357"/>
      <c r="U410" s="357"/>
      <c r="V410" s="357"/>
      <c r="W410" s="357"/>
      <c r="X410" s="357"/>
      <c r="Y410" s="357"/>
      <c r="Z410" s="357"/>
      <c r="AA410" s="357"/>
      <c r="AB410" s="357"/>
      <c r="AC410" s="357"/>
      <c r="AD410" s="357"/>
      <c r="AE410" s="357"/>
      <c r="AF410" s="357"/>
      <c r="AG410" s="357"/>
      <c r="AH410" s="357"/>
      <c r="AI410" s="357"/>
      <c r="AJ410" s="357"/>
      <c r="AK410" s="357"/>
      <c r="AL410" s="357"/>
      <c r="AM410" s="357"/>
      <c r="AN410" s="357"/>
      <c r="AO410" s="357"/>
      <c r="AP410" s="357"/>
      <c r="AQ410" s="357"/>
      <c r="AR410" s="357"/>
      <c r="AS410" s="357"/>
      <c r="AT410" s="357"/>
      <c r="AU410" s="357"/>
      <c r="AV410" s="357"/>
      <c r="AW410" s="357"/>
      <c r="AX410" s="357"/>
      <c r="AY410" s="357"/>
      <c r="AZ410" s="357"/>
      <c r="BA410" s="357"/>
      <c r="BB410" s="357"/>
      <c r="BC410" s="357"/>
      <c r="BD410" s="357"/>
    </row>
    <row r="411" spans="7:56">
      <c r="G411" s="357"/>
      <c r="H411" s="357"/>
      <c r="I411" s="357"/>
      <c r="J411" s="357"/>
      <c r="K411" s="357"/>
      <c r="L411" s="357"/>
      <c r="M411" s="357"/>
      <c r="N411" s="357"/>
      <c r="O411" s="357"/>
      <c r="P411" s="357"/>
      <c r="Q411" s="357"/>
      <c r="R411" s="357"/>
      <c r="S411" s="357"/>
      <c r="T411" s="357"/>
      <c r="U411" s="357"/>
      <c r="V411" s="357"/>
      <c r="W411" s="357"/>
      <c r="X411" s="357"/>
      <c r="Y411" s="357"/>
      <c r="Z411" s="357"/>
      <c r="AA411" s="357"/>
      <c r="AB411" s="357"/>
      <c r="AC411" s="357"/>
      <c r="AD411" s="357"/>
      <c r="AE411" s="357"/>
      <c r="AF411" s="357"/>
      <c r="AG411" s="357"/>
      <c r="AH411" s="357"/>
      <c r="AI411" s="357"/>
      <c r="AJ411" s="357"/>
      <c r="AK411" s="357"/>
      <c r="AL411" s="357"/>
      <c r="AM411" s="357"/>
      <c r="AN411" s="357"/>
      <c r="AO411" s="357"/>
      <c r="AP411" s="357"/>
      <c r="AQ411" s="357"/>
      <c r="AR411" s="357"/>
      <c r="AS411" s="357"/>
      <c r="AT411" s="357"/>
      <c r="AU411" s="357"/>
      <c r="AV411" s="357"/>
      <c r="AW411" s="357"/>
      <c r="AX411" s="357"/>
      <c r="AY411" s="357"/>
      <c r="AZ411" s="357"/>
      <c r="BA411" s="357"/>
      <c r="BB411" s="357"/>
      <c r="BC411" s="357"/>
      <c r="BD411" s="357"/>
    </row>
    <row r="412" spans="7:56">
      <c r="G412" s="357"/>
      <c r="H412" s="357"/>
      <c r="I412" s="357"/>
      <c r="J412" s="357"/>
      <c r="K412" s="357"/>
      <c r="L412" s="357"/>
      <c r="M412" s="357"/>
      <c r="N412" s="357"/>
      <c r="O412" s="357"/>
      <c r="P412" s="357"/>
      <c r="Q412" s="357"/>
      <c r="R412" s="357"/>
      <c r="S412" s="357"/>
      <c r="T412" s="357"/>
      <c r="U412" s="357"/>
      <c r="V412" s="357"/>
      <c r="W412" s="357"/>
      <c r="X412" s="357"/>
      <c r="Y412" s="357"/>
      <c r="Z412" s="357"/>
      <c r="AA412" s="357"/>
      <c r="AB412" s="357"/>
      <c r="AC412" s="357"/>
      <c r="AD412" s="357"/>
      <c r="AE412" s="357"/>
      <c r="AF412" s="357"/>
      <c r="AG412" s="357"/>
      <c r="AH412" s="357"/>
      <c r="AI412" s="357"/>
      <c r="AJ412" s="357"/>
      <c r="AK412" s="357"/>
      <c r="AL412" s="357"/>
      <c r="AM412" s="357"/>
      <c r="AN412" s="357"/>
      <c r="AO412" s="357"/>
      <c r="AP412" s="357"/>
      <c r="AQ412" s="357"/>
      <c r="AR412" s="357"/>
      <c r="AS412" s="357"/>
      <c r="AT412" s="357"/>
      <c r="AU412" s="357"/>
      <c r="AV412" s="357"/>
      <c r="AW412" s="357"/>
      <c r="AX412" s="357"/>
      <c r="AY412" s="357"/>
      <c r="AZ412" s="357"/>
      <c r="BA412" s="357"/>
      <c r="BB412" s="357"/>
      <c r="BC412" s="357"/>
      <c r="BD412" s="357"/>
    </row>
    <row r="413" spans="7:56">
      <c r="G413" s="357"/>
      <c r="H413" s="357"/>
      <c r="I413" s="357"/>
      <c r="J413" s="357"/>
      <c r="K413" s="357"/>
      <c r="L413" s="357"/>
      <c r="M413" s="357"/>
      <c r="N413" s="357"/>
      <c r="O413" s="357"/>
      <c r="P413" s="357"/>
      <c r="Q413" s="357"/>
      <c r="R413" s="357"/>
      <c r="S413" s="357"/>
      <c r="T413" s="357"/>
      <c r="U413" s="357"/>
      <c r="V413" s="357"/>
      <c r="W413" s="357"/>
      <c r="X413" s="357"/>
      <c r="Y413" s="357"/>
      <c r="Z413" s="357"/>
      <c r="AA413" s="357"/>
      <c r="AB413" s="357"/>
      <c r="AC413" s="357"/>
      <c r="AD413" s="357"/>
      <c r="AE413" s="357"/>
      <c r="AF413" s="357"/>
      <c r="AG413" s="357"/>
      <c r="AH413" s="357"/>
      <c r="AI413" s="357"/>
      <c r="AJ413" s="357"/>
      <c r="AK413" s="357"/>
      <c r="AL413" s="357"/>
      <c r="AM413" s="357"/>
      <c r="AN413" s="357"/>
      <c r="AO413" s="357"/>
      <c r="AP413" s="357"/>
      <c r="AQ413" s="357"/>
      <c r="AR413" s="357"/>
      <c r="AS413" s="357"/>
      <c r="AT413" s="357"/>
      <c r="AU413" s="357"/>
      <c r="AV413" s="357"/>
      <c r="AW413" s="357"/>
      <c r="AX413" s="357"/>
      <c r="AY413" s="357"/>
      <c r="AZ413" s="357"/>
      <c r="BA413" s="357"/>
      <c r="BB413" s="357"/>
      <c r="BC413" s="357"/>
      <c r="BD413" s="357"/>
    </row>
    <row r="414" spans="7:56">
      <c r="G414" s="357"/>
      <c r="H414" s="357"/>
      <c r="I414" s="357"/>
      <c r="J414" s="357"/>
      <c r="K414" s="357"/>
      <c r="L414" s="357"/>
      <c r="M414" s="357"/>
      <c r="N414" s="357"/>
      <c r="O414" s="357"/>
      <c r="P414" s="357"/>
      <c r="Q414" s="357"/>
      <c r="R414" s="357"/>
      <c r="S414" s="357"/>
      <c r="T414" s="357"/>
      <c r="U414" s="357"/>
      <c r="V414" s="357"/>
      <c r="W414" s="357"/>
      <c r="X414" s="357"/>
      <c r="Y414" s="357"/>
      <c r="Z414" s="357"/>
      <c r="AA414" s="357"/>
      <c r="AB414" s="357"/>
      <c r="AC414" s="357"/>
      <c r="AD414" s="357"/>
      <c r="AE414" s="357"/>
      <c r="AF414" s="357"/>
      <c r="AG414" s="357"/>
      <c r="AH414" s="357"/>
      <c r="AI414" s="357"/>
      <c r="AJ414" s="357"/>
      <c r="AK414" s="357"/>
      <c r="AL414" s="357"/>
      <c r="AM414" s="357"/>
      <c r="AN414" s="357"/>
      <c r="AO414" s="357"/>
      <c r="AP414" s="357"/>
      <c r="AQ414" s="357"/>
      <c r="AR414" s="357"/>
      <c r="AS414" s="357"/>
      <c r="AT414" s="357"/>
      <c r="AU414" s="357"/>
      <c r="AV414" s="357"/>
      <c r="AW414" s="357"/>
      <c r="AX414" s="357"/>
      <c r="AY414" s="357"/>
      <c r="AZ414" s="357"/>
      <c r="BA414" s="357"/>
      <c r="BB414" s="357"/>
      <c r="BC414" s="357"/>
      <c r="BD414" s="357"/>
    </row>
    <row r="415" spans="7:56">
      <c r="G415" s="357"/>
      <c r="H415" s="357"/>
      <c r="I415" s="357"/>
      <c r="J415" s="357"/>
      <c r="K415" s="357"/>
      <c r="L415" s="357"/>
      <c r="M415" s="357"/>
      <c r="N415" s="357"/>
      <c r="O415" s="357"/>
      <c r="P415" s="357"/>
      <c r="Q415" s="357"/>
      <c r="R415" s="357"/>
      <c r="S415" s="357"/>
      <c r="T415" s="357"/>
      <c r="U415" s="357"/>
      <c r="V415" s="357"/>
      <c r="W415" s="357"/>
      <c r="X415" s="357"/>
      <c r="Y415" s="357"/>
      <c r="Z415" s="357"/>
      <c r="AA415" s="357"/>
      <c r="AB415" s="357"/>
      <c r="AC415" s="357"/>
      <c r="AD415" s="357"/>
      <c r="AE415" s="357"/>
      <c r="AF415" s="357"/>
      <c r="AG415" s="357"/>
      <c r="AH415" s="357"/>
      <c r="AI415" s="357"/>
      <c r="AJ415" s="357"/>
      <c r="AK415" s="357"/>
      <c r="AL415" s="357"/>
      <c r="AM415" s="357"/>
      <c r="AN415" s="357"/>
      <c r="AO415" s="357"/>
      <c r="AP415" s="357"/>
      <c r="AQ415" s="357"/>
      <c r="AR415" s="357"/>
      <c r="AS415" s="357"/>
      <c r="AT415" s="357"/>
      <c r="AU415" s="357"/>
      <c r="AV415" s="357"/>
      <c r="AW415" s="357"/>
      <c r="AX415" s="357"/>
      <c r="AY415" s="357"/>
      <c r="AZ415" s="357"/>
      <c r="BA415" s="357"/>
      <c r="BB415" s="357"/>
      <c r="BC415" s="357"/>
      <c r="BD415" s="357"/>
    </row>
    <row r="416" spans="7:56">
      <c r="G416" s="357"/>
      <c r="H416" s="357"/>
      <c r="I416" s="357"/>
      <c r="J416" s="357"/>
      <c r="K416" s="357"/>
      <c r="L416" s="357"/>
      <c r="M416" s="357"/>
      <c r="N416" s="357"/>
      <c r="O416" s="357"/>
      <c r="P416" s="357"/>
      <c r="Q416" s="357"/>
      <c r="R416" s="357"/>
      <c r="S416" s="357"/>
      <c r="T416" s="357"/>
      <c r="U416" s="357"/>
      <c r="V416" s="357"/>
      <c r="W416" s="357"/>
      <c r="X416" s="357"/>
      <c r="Y416" s="357"/>
      <c r="Z416" s="357"/>
      <c r="AA416" s="357"/>
      <c r="AB416" s="357"/>
      <c r="AC416" s="357"/>
      <c r="AD416" s="357"/>
      <c r="AE416" s="357"/>
      <c r="AF416" s="357"/>
      <c r="AG416" s="357"/>
      <c r="AH416" s="357"/>
      <c r="AI416" s="357"/>
      <c r="AJ416" s="357"/>
      <c r="AK416" s="357"/>
      <c r="AL416" s="357"/>
      <c r="AM416" s="357"/>
      <c r="AN416" s="357"/>
      <c r="AO416" s="357"/>
      <c r="AP416" s="357"/>
      <c r="AQ416" s="357"/>
      <c r="AR416" s="357"/>
      <c r="AS416" s="357"/>
      <c r="AT416" s="357"/>
      <c r="AU416" s="357"/>
      <c r="AV416" s="357"/>
      <c r="AW416" s="357"/>
      <c r="AX416" s="357"/>
      <c r="AY416" s="357"/>
      <c r="AZ416" s="357"/>
      <c r="BA416" s="357"/>
      <c r="BB416" s="357"/>
      <c r="BC416" s="357"/>
      <c r="BD416" s="357"/>
    </row>
    <row r="417" spans="7:56">
      <c r="G417" s="357"/>
      <c r="H417" s="357"/>
      <c r="I417" s="357"/>
      <c r="J417" s="357"/>
      <c r="K417" s="357"/>
      <c r="L417" s="357"/>
      <c r="M417" s="357"/>
      <c r="N417" s="357"/>
      <c r="O417" s="357"/>
      <c r="P417" s="357"/>
      <c r="Q417" s="357"/>
      <c r="R417" s="357"/>
      <c r="S417" s="357"/>
      <c r="T417" s="357"/>
      <c r="U417" s="357"/>
      <c r="V417" s="357"/>
      <c r="W417" s="357"/>
      <c r="X417" s="357"/>
      <c r="Y417" s="357"/>
      <c r="Z417" s="357"/>
      <c r="AA417" s="357"/>
      <c r="AB417" s="357"/>
      <c r="AC417" s="357"/>
      <c r="AD417" s="357"/>
      <c r="AE417" s="357"/>
      <c r="AF417" s="357"/>
      <c r="AG417" s="357"/>
      <c r="AH417" s="357"/>
      <c r="AI417" s="357"/>
      <c r="AJ417" s="357"/>
      <c r="AK417" s="357"/>
      <c r="AL417" s="357"/>
      <c r="AM417" s="357"/>
      <c r="AN417" s="357"/>
      <c r="AO417" s="357"/>
      <c r="AP417" s="357"/>
      <c r="AQ417" s="357"/>
      <c r="AR417" s="357"/>
      <c r="AS417" s="357"/>
      <c r="AT417" s="357"/>
      <c r="AU417" s="357"/>
      <c r="AV417" s="357"/>
      <c r="AW417" s="357"/>
      <c r="AX417" s="357"/>
      <c r="AY417" s="357"/>
      <c r="AZ417" s="357"/>
      <c r="BA417" s="357"/>
      <c r="BB417" s="357"/>
      <c r="BC417" s="357"/>
      <c r="BD417" s="357"/>
    </row>
    <row r="418" spans="7:56">
      <c r="G418" s="357"/>
      <c r="H418" s="357"/>
      <c r="I418" s="357"/>
      <c r="J418" s="357"/>
      <c r="K418" s="357"/>
      <c r="L418" s="357"/>
      <c r="M418" s="357"/>
      <c r="N418" s="357"/>
      <c r="O418" s="357"/>
      <c r="P418" s="357"/>
      <c r="Q418" s="357"/>
      <c r="R418" s="357"/>
      <c r="S418" s="357"/>
      <c r="T418" s="357"/>
      <c r="U418" s="357"/>
      <c r="V418" s="357"/>
      <c r="W418" s="357"/>
      <c r="X418" s="357"/>
      <c r="Y418" s="357"/>
      <c r="Z418" s="357"/>
      <c r="AA418" s="357"/>
      <c r="AB418" s="357"/>
      <c r="AC418" s="357"/>
      <c r="AD418" s="357"/>
      <c r="AE418" s="357"/>
      <c r="AF418" s="357"/>
      <c r="AG418" s="357"/>
      <c r="AH418" s="357"/>
      <c r="AI418" s="357"/>
      <c r="AJ418" s="357"/>
      <c r="AK418" s="357"/>
      <c r="AL418" s="357"/>
      <c r="AM418" s="357"/>
      <c r="AN418" s="357"/>
      <c r="AO418" s="357"/>
      <c r="AP418" s="357"/>
      <c r="AQ418" s="357"/>
      <c r="AR418" s="357"/>
      <c r="AS418" s="357"/>
      <c r="AT418" s="357"/>
      <c r="AU418" s="357"/>
      <c r="AV418" s="357"/>
      <c r="AW418" s="357"/>
      <c r="AX418" s="357"/>
      <c r="AY418" s="357"/>
      <c r="AZ418" s="357"/>
      <c r="BA418" s="357"/>
      <c r="BB418" s="357"/>
      <c r="BC418" s="357"/>
      <c r="BD418" s="357"/>
    </row>
    <row r="419" spans="7:56">
      <c r="G419" s="357"/>
      <c r="H419" s="357"/>
      <c r="I419" s="357"/>
      <c r="J419" s="357"/>
      <c r="K419" s="357"/>
      <c r="L419" s="357"/>
      <c r="M419" s="357"/>
      <c r="N419" s="357"/>
      <c r="O419" s="357"/>
      <c r="P419" s="357"/>
      <c r="Q419" s="357"/>
      <c r="R419" s="357"/>
      <c r="S419" s="357"/>
      <c r="T419" s="357"/>
      <c r="U419" s="357"/>
      <c r="V419" s="357"/>
      <c r="W419" s="357"/>
      <c r="X419" s="357"/>
      <c r="Y419" s="357"/>
      <c r="Z419" s="357"/>
      <c r="AA419" s="357"/>
      <c r="AB419" s="357"/>
      <c r="AC419" s="357"/>
      <c r="AD419" s="357"/>
      <c r="AE419" s="357"/>
      <c r="AF419" s="357"/>
      <c r="AG419" s="357"/>
      <c r="AH419" s="357"/>
      <c r="AI419" s="357"/>
      <c r="AJ419" s="357"/>
      <c r="AK419" s="357"/>
      <c r="AL419" s="357"/>
      <c r="AM419" s="357"/>
      <c r="AN419" s="357"/>
      <c r="AO419" s="357"/>
      <c r="AP419" s="357"/>
      <c r="AQ419" s="357"/>
      <c r="AR419" s="357"/>
      <c r="AS419" s="357"/>
      <c r="AT419" s="357"/>
      <c r="AU419" s="357"/>
      <c r="AV419" s="357"/>
      <c r="AW419" s="357"/>
      <c r="AX419" s="357"/>
      <c r="AY419" s="357"/>
      <c r="AZ419" s="357"/>
      <c r="BA419" s="357"/>
      <c r="BB419" s="357"/>
      <c r="BC419" s="357"/>
      <c r="BD419" s="357"/>
    </row>
    <row r="420" spans="7:56">
      <c r="G420" s="357"/>
      <c r="H420" s="357"/>
      <c r="I420" s="357"/>
      <c r="J420" s="357"/>
      <c r="K420" s="357"/>
      <c r="L420" s="357"/>
      <c r="M420" s="357"/>
      <c r="N420" s="357"/>
      <c r="O420" s="357"/>
      <c r="P420" s="357"/>
      <c r="Q420" s="357"/>
      <c r="R420" s="357"/>
      <c r="S420" s="357"/>
      <c r="T420" s="357"/>
      <c r="U420" s="357"/>
      <c r="V420" s="357"/>
      <c r="W420" s="357"/>
      <c r="X420" s="357"/>
      <c r="Y420" s="357"/>
      <c r="Z420" s="357"/>
      <c r="AA420" s="357"/>
      <c r="AB420" s="357"/>
      <c r="AC420" s="357"/>
      <c r="AD420" s="357"/>
      <c r="AE420" s="357"/>
      <c r="AF420" s="357"/>
      <c r="AG420" s="357"/>
      <c r="AH420" s="357"/>
      <c r="AI420" s="357"/>
      <c r="AJ420" s="357"/>
      <c r="AK420" s="357"/>
      <c r="AL420" s="357"/>
      <c r="AM420" s="357"/>
      <c r="AN420" s="357"/>
      <c r="AO420" s="357"/>
      <c r="AP420" s="357"/>
      <c r="AQ420" s="357"/>
      <c r="AR420" s="357"/>
      <c r="AS420" s="357"/>
      <c r="AT420" s="357"/>
      <c r="AU420" s="357"/>
      <c r="AV420" s="357"/>
      <c r="AW420" s="357"/>
      <c r="AX420" s="357"/>
      <c r="AY420" s="357"/>
      <c r="AZ420" s="357"/>
      <c r="BA420" s="357"/>
      <c r="BB420" s="357"/>
      <c r="BC420" s="357"/>
      <c r="BD420" s="357"/>
    </row>
    <row r="421" spans="7:56">
      <c r="G421" s="357"/>
      <c r="H421" s="357"/>
      <c r="I421" s="357"/>
      <c r="J421" s="357"/>
      <c r="K421" s="357"/>
      <c r="L421" s="357"/>
      <c r="M421" s="357"/>
      <c r="N421" s="357"/>
      <c r="O421" s="357"/>
      <c r="P421" s="357"/>
      <c r="Q421" s="357"/>
      <c r="R421" s="357"/>
      <c r="S421" s="357"/>
      <c r="T421" s="357"/>
      <c r="U421" s="357"/>
      <c r="V421" s="357"/>
      <c r="W421" s="357"/>
      <c r="X421" s="357"/>
      <c r="Y421" s="357"/>
      <c r="Z421" s="357"/>
      <c r="AA421" s="357"/>
      <c r="AB421" s="357"/>
      <c r="AC421" s="357"/>
      <c r="AD421" s="357"/>
      <c r="AE421" s="357"/>
      <c r="AF421" s="357"/>
      <c r="AG421" s="357"/>
      <c r="AH421" s="357"/>
      <c r="AI421" s="357"/>
      <c r="AJ421" s="357"/>
      <c r="AK421" s="357"/>
      <c r="AL421" s="357"/>
      <c r="AM421" s="357"/>
      <c r="AN421" s="357"/>
      <c r="AO421" s="357"/>
      <c r="AP421" s="357"/>
      <c r="AQ421" s="357"/>
      <c r="AR421" s="357"/>
      <c r="AS421" s="357"/>
      <c r="AT421" s="357"/>
      <c r="AU421" s="357"/>
      <c r="AV421" s="357"/>
      <c r="AW421" s="357"/>
      <c r="AX421" s="357"/>
      <c r="AY421" s="357"/>
      <c r="AZ421" s="357"/>
      <c r="BA421" s="357"/>
      <c r="BB421" s="357"/>
      <c r="BC421" s="357"/>
      <c r="BD421" s="357"/>
    </row>
    <row r="422" spans="7:56">
      <c r="G422" s="357"/>
      <c r="H422" s="357"/>
      <c r="I422" s="357"/>
      <c r="J422" s="357"/>
      <c r="K422" s="357"/>
      <c r="L422" s="357"/>
      <c r="M422" s="357"/>
      <c r="N422" s="357"/>
      <c r="O422" s="357"/>
      <c r="P422" s="357"/>
      <c r="Q422" s="357"/>
      <c r="R422" s="357"/>
      <c r="S422" s="357"/>
      <c r="T422" s="357"/>
      <c r="U422" s="357"/>
      <c r="V422" s="357"/>
      <c r="W422" s="357"/>
      <c r="X422" s="357"/>
      <c r="Y422" s="357"/>
      <c r="Z422" s="357"/>
      <c r="AA422" s="357"/>
      <c r="AB422" s="357"/>
      <c r="AC422" s="357"/>
      <c r="AD422" s="357"/>
      <c r="AE422" s="357"/>
      <c r="AF422" s="357"/>
      <c r="AG422" s="357"/>
      <c r="AH422" s="357"/>
      <c r="AI422" s="357"/>
      <c r="AJ422" s="357"/>
      <c r="AK422" s="357"/>
      <c r="AL422" s="357"/>
      <c r="AM422" s="357"/>
      <c r="AN422" s="357"/>
      <c r="AO422" s="357"/>
      <c r="AP422" s="357"/>
      <c r="AQ422" s="357"/>
      <c r="AR422" s="357"/>
      <c r="AS422" s="357"/>
      <c r="AT422" s="357"/>
      <c r="AU422" s="357"/>
      <c r="AV422" s="357"/>
      <c r="AW422" s="357"/>
      <c r="AX422" s="357"/>
      <c r="AY422" s="357"/>
      <c r="AZ422" s="357"/>
      <c r="BA422" s="357"/>
      <c r="BB422" s="357"/>
      <c r="BC422" s="357"/>
      <c r="BD422" s="357"/>
    </row>
    <row r="423" spans="7:56">
      <c r="G423" s="357"/>
      <c r="H423" s="357"/>
      <c r="I423" s="357"/>
      <c r="J423" s="357"/>
      <c r="K423" s="357"/>
      <c r="L423" s="357"/>
      <c r="M423" s="357"/>
      <c r="N423" s="357"/>
      <c r="O423" s="357"/>
      <c r="P423" s="357"/>
      <c r="Q423" s="357"/>
      <c r="R423" s="357"/>
      <c r="S423" s="357"/>
      <c r="T423" s="357"/>
      <c r="U423" s="357"/>
      <c r="V423" s="357"/>
      <c r="W423" s="357"/>
      <c r="X423" s="357"/>
      <c r="Y423" s="357"/>
      <c r="Z423" s="357"/>
      <c r="AA423" s="357"/>
      <c r="AB423" s="357"/>
      <c r="AC423" s="357"/>
      <c r="AD423" s="357"/>
      <c r="AE423" s="357"/>
      <c r="AF423" s="357"/>
      <c r="AG423" s="357"/>
      <c r="AH423" s="357"/>
      <c r="AI423" s="357"/>
      <c r="AJ423" s="357"/>
      <c r="AK423" s="357"/>
      <c r="AL423" s="357"/>
      <c r="AM423" s="357"/>
      <c r="AN423" s="357"/>
      <c r="AO423" s="357"/>
      <c r="AP423" s="357"/>
      <c r="AQ423" s="357"/>
      <c r="AR423" s="357"/>
      <c r="AS423" s="357"/>
      <c r="AT423" s="357"/>
      <c r="AU423" s="357"/>
      <c r="AV423" s="357"/>
      <c r="AW423" s="357"/>
      <c r="AX423" s="357"/>
      <c r="AY423" s="357"/>
      <c r="AZ423" s="357"/>
      <c r="BA423" s="357"/>
      <c r="BB423" s="357"/>
      <c r="BC423" s="357"/>
      <c r="BD423" s="357"/>
    </row>
    <row r="424" spans="7:56">
      <c r="G424" s="357"/>
      <c r="H424" s="357"/>
      <c r="I424" s="357"/>
      <c r="J424" s="357"/>
      <c r="K424" s="357"/>
      <c r="L424" s="357"/>
      <c r="M424" s="357"/>
      <c r="N424" s="357"/>
      <c r="O424" s="357"/>
      <c r="P424" s="357"/>
      <c r="Q424" s="357"/>
      <c r="R424" s="357"/>
      <c r="S424" s="357"/>
      <c r="T424" s="357"/>
      <c r="U424" s="357"/>
      <c r="V424" s="357"/>
      <c r="W424" s="357"/>
      <c r="X424" s="357"/>
      <c r="Y424" s="357"/>
      <c r="Z424" s="357"/>
      <c r="AA424" s="357"/>
      <c r="AB424" s="357"/>
      <c r="AC424" s="357"/>
      <c r="AD424" s="357"/>
      <c r="AE424" s="357"/>
      <c r="AF424" s="357"/>
      <c r="AG424" s="357"/>
      <c r="AH424" s="357"/>
      <c r="AI424" s="357"/>
      <c r="AJ424" s="357"/>
      <c r="AK424" s="357"/>
      <c r="AL424" s="357"/>
      <c r="AM424" s="357"/>
      <c r="AN424" s="357"/>
      <c r="AO424" s="357"/>
      <c r="AP424" s="357"/>
      <c r="AQ424" s="357"/>
      <c r="AR424" s="357"/>
      <c r="AS424" s="357"/>
      <c r="AT424" s="357"/>
      <c r="AU424" s="357"/>
      <c r="AV424" s="357"/>
      <c r="AW424" s="357"/>
      <c r="AX424" s="357"/>
      <c r="AY424" s="357"/>
      <c r="AZ424" s="357"/>
      <c r="BA424" s="357"/>
      <c r="BB424" s="357"/>
      <c r="BC424" s="357"/>
      <c r="BD424" s="357"/>
    </row>
    <row r="425" spans="7:56">
      <c r="G425" s="357"/>
      <c r="H425" s="357"/>
      <c r="I425" s="357"/>
      <c r="J425" s="357"/>
      <c r="K425" s="357"/>
      <c r="L425" s="357"/>
      <c r="M425" s="357"/>
      <c r="N425" s="357"/>
      <c r="O425" s="357"/>
      <c r="P425" s="357"/>
      <c r="Q425" s="357"/>
      <c r="R425" s="357"/>
      <c r="S425" s="357"/>
      <c r="T425" s="357"/>
      <c r="U425" s="357"/>
      <c r="V425" s="357"/>
      <c r="W425" s="357"/>
      <c r="X425" s="357"/>
      <c r="Y425" s="357"/>
      <c r="Z425" s="357"/>
      <c r="AA425" s="357"/>
      <c r="AB425" s="357"/>
      <c r="AC425" s="357"/>
      <c r="AD425" s="357"/>
      <c r="AE425" s="357"/>
      <c r="AF425" s="357"/>
      <c r="AG425" s="357"/>
      <c r="AH425" s="357"/>
      <c r="AI425" s="357"/>
      <c r="AJ425" s="357"/>
      <c r="AK425" s="357"/>
      <c r="AL425" s="357"/>
      <c r="AM425" s="357"/>
      <c r="AN425" s="357"/>
      <c r="AO425" s="357"/>
      <c r="AP425" s="357"/>
      <c r="AQ425" s="357"/>
      <c r="AR425" s="357"/>
      <c r="AS425" s="357"/>
      <c r="AT425" s="357"/>
      <c r="AU425" s="357"/>
      <c r="AV425" s="357"/>
      <c r="AW425" s="357"/>
      <c r="AX425" s="357"/>
      <c r="AY425" s="357"/>
      <c r="AZ425" s="357"/>
      <c r="BA425" s="357"/>
      <c r="BB425" s="357"/>
      <c r="BC425" s="357"/>
      <c r="BD425" s="357"/>
    </row>
    <row r="426" spans="7:56">
      <c r="G426" s="357"/>
      <c r="H426" s="357"/>
      <c r="I426" s="357"/>
      <c r="J426" s="357"/>
      <c r="K426" s="357"/>
      <c r="L426" s="357"/>
      <c r="M426" s="357"/>
      <c r="N426" s="357"/>
      <c r="O426" s="357"/>
      <c r="P426" s="357"/>
      <c r="Q426" s="357"/>
      <c r="R426" s="357"/>
      <c r="S426" s="357"/>
      <c r="T426" s="357"/>
      <c r="U426" s="357"/>
      <c r="V426" s="357"/>
      <c r="W426" s="357"/>
      <c r="X426" s="357"/>
      <c r="Y426" s="357"/>
      <c r="Z426" s="357"/>
      <c r="AA426" s="357"/>
      <c r="AB426" s="357"/>
      <c r="AC426" s="357"/>
      <c r="AD426" s="357"/>
      <c r="AE426" s="357"/>
      <c r="AF426" s="357"/>
      <c r="AG426" s="357"/>
      <c r="AH426" s="357"/>
      <c r="AI426" s="357"/>
      <c r="AJ426" s="357"/>
      <c r="AK426" s="357"/>
      <c r="AL426" s="357"/>
      <c r="AM426" s="357"/>
      <c r="AN426" s="357"/>
      <c r="AO426" s="357"/>
      <c r="AP426" s="357"/>
      <c r="AQ426" s="357"/>
      <c r="AR426" s="357"/>
      <c r="AS426" s="357"/>
      <c r="AT426" s="357"/>
      <c r="AU426" s="357"/>
      <c r="AV426" s="357"/>
      <c r="AW426" s="357"/>
      <c r="AX426" s="357"/>
      <c r="AY426" s="357"/>
      <c r="AZ426" s="357"/>
      <c r="BA426" s="357"/>
      <c r="BB426" s="357"/>
      <c r="BC426" s="357"/>
      <c r="BD426" s="357"/>
    </row>
    <row r="427" spans="7:56">
      <c r="G427" s="357"/>
      <c r="H427" s="357"/>
      <c r="I427" s="357"/>
      <c r="J427" s="357"/>
      <c r="K427" s="357"/>
      <c r="L427" s="357"/>
      <c r="M427" s="357"/>
      <c r="N427" s="357"/>
      <c r="O427" s="357"/>
      <c r="P427" s="357"/>
      <c r="Q427" s="357"/>
      <c r="R427" s="357"/>
      <c r="S427" s="357"/>
      <c r="T427" s="357"/>
      <c r="U427" s="357"/>
      <c r="V427" s="357"/>
      <c r="W427" s="357"/>
      <c r="X427" s="357"/>
      <c r="Y427" s="357"/>
      <c r="Z427" s="357"/>
      <c r="AA427" s="357"/>
      <c r="AB427" s="357"/>
      <c r="AC427" s="357"/>
      <c r="AD427" s="357"/>
      <c r="AE427" s="357"/>
      <c r="AF427" s="357"/>
      <c r="AG427" s="357"/>
      <c r="AH427" s="357"/>
      <c r="AI427" s="357"/>
      <c r="AJ427" s="357"/>
      <c r="AK427" s="357"/>
      <c r="AL427" s="357"/>
      <c r="AM427" s="357"/>
      <c r="AN427" s="357"/>
      <c r="AO427" s="357"/>
      <c r="AP427" s="357"/>
      <c r="AQ427" s="357"/>
      <c r="AR427" s="357"/>
      <c r="AS427" s="357"/>
      <c r="AT427" s="357"/>
      <c r="AU427" s="357"/>
      <c r="AV427" s="357"/>
      <c r="AW427" s="357"/>
      <c r="AX427" s="357"/>
      <c r="AY427" s="357"/>
      <c r="AZ427" s="357"/>
      <c r="BA427" s="357"/>
      <c r="BB427" s="357"/>
      <c r="BC427" s="357"/>
      <c r="BD427" s="357"/>
    </row>
    <row r="428" spans="7:56">
      <c r="G428" s="357"/>
      <c r="H428" s="357"/>
      <c r="I428" s="357"/>
      <c r="J428" s="357"/>
      <c r="K428" s="357"/>
      <c r="L428" s="357"/>
      <c r="M428" s="357"/>
      <c r="N428" s="357"/>
      <c r="O428" s="357"/>
      <c r="P428" s="357"/>
      <c r="Q428" s="357"/>
      <c r="R428" s="357"/>
      <c r="S428" s="357"/>
      <c r="T428" s="357"/>
      <c r="U428" s="357"/>
      <c r="V428" s="357"/>
      <c r="W428" s="357"/>
      <c r="X428" s="357"/>
      <c r="Y428" s="357"/>
      <c r="Z428" s="357"/>
      <c r="AA428" s="357"/>
      <c r="AB428" s="357"/>
      <c r="AC428" s="357"/>
      <c r="AD428" s="357"/>
      <c r="AE428" s="357"/>
      <c r="AF428" s="357"/>
      <c r="AG428" s="357"/>
      <c r="AH428" s="357"/>
      <c r="AI428" s="357"/>
      <c r="AJ428" s="357"/>
      <c r="AK428" s="357"/>
      <c r="AL428" s="357"/>
      <c r="AM428" s="357"/>
      <c r="AN428" s="357"/>
      <c r="AO428" s="357"/>
      <c r="AP428" s="357"/>
      <c r="AQ428" s="357"/>
      <c r="AR428" s="357"/>
      <c r="AS428" s="357"/>
      <c r="AT428" s="357"/>
      <c r="AU428" s="357"/>
      <c r="AV428" s="357"/>
      <c r="AW428" s="357"/>
      <c r="AX428" s="357"/>
      <c r="AY428" s="357"/>
      <c r="AZ428" s="357"/>
      <c r="BA428" s="357"/>
      <c r="BB428" s="357"/>
      <c r="BC428" s="357"/>
      <c r="BD428" s="357"/>
    </row>
    <row r="429" spans="7:56">
      <c r="G429" s="357"/>
      <c r="H429" s="357"/>
      <c r="I429" s="357"/>
      <c r="J429" s="357"/>
      <c r="K429" s="357"/>
      <c r="L429" s="357"/>
      <c r="M429" s="357"/>
      <c r="N429" s="357"/>
      <c r="O429" s="357"/>
      <c r="P429" s="357"/>
      <c r="Q429" s="357"/>
      <c r="R429" s="357"/>
      <c r="S429" s="357"/>
      <c r="T429" s="357"/>
      <c r="U429" s="357"/>
      <c r="V429" s="357"/>
      <c r="W429" s="357"/>
      <c r="X429" s="357"/>
      <c r="Y429" s="357"/>
      <c r="Z429" s="357"/>
      <c r="AA429" s="357"/>
      <c r="AB429" s="357"/>
      <c r="AC429" s="357"/>
      <c r="AD429" s="357"/>
      <c r="AE429" s="357"/>
      <c r="AF429" s="357"/>
      <c r="AG429" s="357"/>
      <c r="AH429" s="357"/>
      <c r="AI429" s="357"/>
      <c r="AJ429" s="357"/>
      <c r="AK429" s="357"/>
      <c r="AL429" s="357"/>
      <c r="AM429" s="357"/>
      <c r="AN429" s="357"/>
      <c r="AO429" s="357"/>
      <c r="AP429" s="357"/>
      <c r="AQ429" s="357"/>
      <c r="AR429" s="357"/>
      <c r="AS429" s="357"/>
      <c r="AT429" s="357"/>
      <c r="AU429" s="357"/>
      <c r="AV429" s="357"/>
      <c r="AW429" s="357"/>
      <c r="AX429" s="357"/>
      <c r="AY429" s="357"/>
      <c r="AZ429" s="357"/>
      <c r="BA429" s="357"/>
      <c r="BB429" s="357"/>
      <c r="BC429" s="357"/>
      <c r="BD429" s="357"/>
    </row>
    <row r="430" spans="7:56">
      <c r="G430" s="357"/>
      <c r="H430" s="357"/>
      <c r="I430" s="357"/>
      <c r="J430" s="357"/>
      <c r="K430" s="357"/>
      <c r="L430" s="357"/>
      <c r="M430" s="357"/>
      <c r="N430" s="357"/>
      <c r="O430" s="357"/>
      <c r="P430" s="357"/>
      <c r="Q430" s="357"/>
      <c r="R430" s="357"/>
      <c r="S430" s="357"/>
      <c r="T430" s="357"/>
      <c r="U430" s="357"/>
      <c r="V430" s="357"/>
      <c r="W430" s="357"/>
      <c r="X430" s="357"/>
      <c r="Y430" s="357"/>
      <c r="Z430" s="357"/>
      <c r="AA430" s="357"/>
      <c r="AB430" s="357"/>
      <c r="AC430" s="357"/>
      <c r="AD430" s="357"/>
      <c r="AE430" s="357"/>
      <c r="AF430" s="357"/>
      <c r="AG430" s="357"/>
      <c r="AH430" s="357"/>
      <c r="AI430" s="357"/>
      <c r="AJ430" s="357"/>
      <c r="AK430" s="357"/>
      <c r="AL430" s="357"/>
      <c r="AM430" s="357"/>
      <c r="AN430" s="357"/>
      <c r="AO430" s="357"/>
      <c r="AP430" s="357"/>
      <c r="AQ430" s="357"/>
      <c r="AR430" s="357"/>
      <c r="AS430" s="357"/>
      <c r="AT430" s="357"/>
      <c r="AU430" s="357"/>
      <c r="AV430" s="357"/>
      <c r="AW430" s="357"/>
      <c r="AX430" s="357"/>
      <c r="AY430" s="357"/>
      <c r="AZ430" s="357"/>
      <c r="BA430" s="357"/>
      <c r="BB430" s="357"/>
      <c r="BC430" s="357"/>
      <c r="BD430" s="357"/>
    </row>
    <row r="431" spans="7:56">
      <c r="G431" s="357"/>
      <c r="H431" s="357"/>
      <c r="I431" s="357"/>
      <c r="J431" s="357"/>
      <c r="K431" s="357"/>
      <c r="L431" s="357"/>
      <c r="M431" s="357"/>
      <c r="N431" s="357"/>
      <c r="O431" s="357"/>
      <c r="P431" s="357"/>
      <c r="Q431" s="357"/>
      <c r="R431" s="357"/>
      <c r="S431" s="357"/>
      <c r="T431" s="357"/>
      <c r="U431" s="357"/>
      <c r="V431" s="357"/>
      <c r="W431" s="357"/>
      <c r="X431" s="357"/>
      <c r="Y431" s="357"/>
      <c r="Z431" s="357"/>
      <c r="AA431" s="357"/>
      <c r="AB431" s="357"/>
      <c r="AC431" s="357"/>
      <c r="AD431" s="357"/>
      <c r="AE431" s="357"/>
      <c r="AF431" s="357"/>
      <c r="AG431" s="357"/>
      <c r="AH431" s="357"/>
      <c r="AI431" s="357"/>
      <c r="AJ431" s="357"/>
      <c r="AK431" s="357"/>
      <c r="AL431" s="357"/>
      <c r="AM431" s="357"/>
      <c r="AN431" s="357"/>
      <c r="AO431" s="357"/>
      <c r="AP431" s="357"/>
      <c r="AQ431" s="357"/>
      <c r="AR431" s="357"/>
      <c r="AS431" s="357"/>
      <c r="AT431" s="357"/>
      <c r="AU431" s="357"/>
      <c r="AV431" s="357"/>
      <c r="AW431" s="357"/>
      <c r="AX431" s="357"/>
      <c r="AY431" s="357"/>
      <c r="AZ431" s="357"/>
      <c r="BA431" s="357"/>
      <c r="BB431" s="357"/>
      <c r="BC431" s="357"/>
      <c r="BD431" s="357"/>
    </row>
    <row r="432" spans="7:56">
      <c r="G432" s="357"/>
      <c r="H432" s="357"/>
      <c r="I432" s="357"/>
      <c r="J432" s="357"/>
      <c r="K432" s="357"/>
      <c r="L432" s="357"/>
      <c r="M432" s="357"/>
      <c r="N432" s="357"/>
      <c r="O432" s="357"/>
      <c r="P432" s="357"/>
      <c r="Q432" s="357"/>
      <c r="R432" s="357"/>
      <c r="S432" s="357"/>
      <c r="T432" s="357"/>
      <c r="U432" s="357"/>
      <c r="V432" s="357"/>
      <c r="W432" s="357"/>
      <c r="X432" s="357"/>
      <c r="Y432" s="357"/>
      <c r="Z432" s="357"/>
      <c r="AA432" s="357"/>
      <c r="AB432" s="357"/>
      <c r="AC432" s="357"/>
      <c r="AD432" s="357"/>
      <c r="AE432" s="357"/>
      <c r="AF432" s="357"/>
      <c r="AG432" s="357"/>
      <c r="AH432" s="357"/>
      <c r="AI432" s="357"/>
      <c r="AJ432" s="357"/>
      <c r="AK432" s="357"/>
      <c r="AL432" s="357"/>
      <c r="AM432" s="357"/>
      <c r="AN432" s="357"/>
      <c r="AO432" s="357"/>
      <c r="AP432" s="357"/>
      <c r="AQ432" s="357"/>
      <c r="AR432" s="357"/>
      <c r="AS432" s="357"/>
      <c r="AT432" s="357"/>
      <c r="AU432" s="357"/>
      <c r="AV432" s="357"/>
      <c r="AW432" s="357"/>
      <c r="AX432" s="357"/>
      <c r="AY432" s="357"/>
      <c r="AZ432" s="357"/>
      <c r="BA432" s="357"/>
      <c r="BB432" s="357"/>
      <c r="BC432" s="357"/>
      <c r="BD432" s="357"/>
    </row>
    <row r="433" spans="7:56">
      <c r="G433" s="357"/>
      <c r="H433" s="357"/>
      <c r="I433" s="357"/>
      <c r="J433" s="357"/>
      <c r="K433" s="357"/>
      <c r="L433" s="357"/>
      <c r="M433" s="357"/>
      <c r="N433" s="357"/>
      <c r="O433" s="357"/>
      <c r="P433" s="357"/>
      <c r="Q433" s="357"/>
      <c r="R433" s="357"/>
      <c r="S433" s="357"/>
      <c r="T433" s="357"/>
      <c r="U433" s="357"/>
      <c r="V433" s="357"/>
      <c r="W433" s="357"/>
      <c r="X433" s="357"/>
      <c r="Y433" s="357"/>
      <c r="Z433" s="357"/>
      <c r="AA433" s="357"/>
      <c r="AB433" s="357"/>
      <c r="AC433" s="357"/>
      <c r="AD433" s="357"/>
      <c r="AE433" s="357"/>
      <c r="AF433" s="357"/>
      <c r="AG433" s="357"/>
      <c r="AH433" s="357"/>
      <c r="AI433" s="357"/>
      <c r="AJ433" s="357"/>
      <c r="AK433" s="357"/>
      <c r="AL433" s="357"/>
      <c r="AM433" s="357"/>
      <c r="AN433" s="357"/>
      <c r="AO433" s="357"/>
      <c r="AP433" s="357"/>
      <c r="AQ433" s="357"/>
      <c r="AR433" s="357"/>
      <c r="AS433" s="357"/>
      <c r="AT433" s="357"/>
      <c r="AU433" s="357"/>
      <c r="AV433" s="357"/>
      <c r="AW433" s="357"/>
      <c r="AX433" s="357"/>
      <c r="AY433" s="357"/>
      <c r="AZ433" s="357"/>
      <c r="BA433" s="357"/>
      <c r="BB433" s="357"/>
      <c r="BC433" s="357"/>
      <c r="BD433" s="357"/>
    </row>
    <row r="434" spans="7:56">
      <c r="G434" s="357"/>
      <c r="H434" s="357"/>
      <c r="I434" s="357"/>
      <c r="J434" s="357"/>
      <c r="K434" s="357"/>
      <c r="L434" s="357"/>
      <c r="M434" s="357"/>
      <c r="N434" s="357"/>
      <c r="O434" s="357"/>
      <c r="P434" s="357"/>
      <c r="Q434" s="357"/>
      <c r="R434" s="357"/>
      <c r="S434" s="357"/>
      <c r="T434" s="357"/>
      <c r="U434" s="357"/>
      <c r="V434" s="357"/>
      <c r="W434" s="357"/>
      <c r="X434" s="357"/>
      <c r="Y434" s="357"/>
      <c r="Z434" s="357"/>
      <c r="AA434" s="357"/>
      <c r="AB434" s="357"/>
      <c r="AC434" s="357"/>
      <c r="AD434" s="357"/>
      <c r="AE434" s="357"/>
      <c r="AF434" s="357"/>
      <c r="AG434" s="357"/>
      <c r="AH434" s="357"/>
      <c r="AI434" s="357"/>
      <c r="AJ434" s="357"/>
      <c r="AK434" s="357"/>
      <c r="AL434" s="357"/>
      <c r="AM434" s="357"/>
      <c r="AN434" s="357"/>
      <c r="AO434" s="357"/>
      <c r="AP434" s="357"/>
      <c r="AQ434" s="357"/>
      <c r="AR434" s="357"/>
      <c r="AS434" s="357"/>
      <c r="AT434" s="357"/>
      <c r="AU434" s="357"/>
      <c r="AV434" s="357"/>
      <c r="AW434" s="357"/>
      <c r="AX434" s="357"/>
      <c r="AY434" s="357"/>
      <c r="AZ434" s="357"/>
      <c r="BA434" s="357"/>
      <c r="BB434" s="357"/>
      <c r="BC434" s="357"/>
      <c r="BD434" s="357"/>
    </row>
    <row r="435" spans="7:56">
      <c r="G435" s="357"/>
      <c r="H435" s="357"/>
      <c r="I435" s="357"/>
      <c r="J435" s="357"/>
      <c r="K435" s="357"/>
      <c r="L435" s="357"/>
      <c r="M435" s="357"/>
      <c r="N435" s="357"/>
      <c r="O435" s="357"/>
      <c r="P435" s="357"/>
      <c r="Q435" s="357"/>
      <c r="R435" s="357"/>
      <c r="S435" s="357"/>
      <c r="T435" s="357"/>
      <c r="U435" s="357"/>
      <c r="V435" s="357"/>
      <c r="W435" s="357"/>
      <c r="X435" s="357"/>
      <c r="Y435" s="357"/>
      <c r="Z435" s="357"/>
      <c r="AA435" s="357"/>
      <c r="AB435" s="357"/>
      <c r="AC435" s="357"/>
      <c r="AD435" s="357"/>
      <c r="AE435" s="357"/>
      <c r="AF435" s="357"/>
      <c r="AG435" s="357"/>
      <c r="AH435" s="357"/>
      <c r="AI435" s="357"/>
      <c r="AJ435" s="357"/>
      <c r="AK435" s="357"/>
      <c r="AL435" s="357"/>
      <c r="AM435" s="357"/>
      <c r="AN435" s="357"/>
      <c r="AO435" s="357"/>
      <c r="AP435" s="357"/>
      <c r="AQ435" s="357"/>
      <c r="AR435" s="357"/>
      <c r="AS435" s="357"/>
      <c r="AT435" s="357"/>
      <c r="AU435" s="357"/>
      <c r="AV435" s="357"/>
      <c r="AW435" s="357"/>
      <c r="AX435" s="357"/>
      <c r="AY435" s="357"/>
      <c r="AZ435" s="357"/>
      <c r="BA435" s="357"/>
      <c r="BB435" s="357"/>
      <c r="BC435" s="357"/>
      <c r="BD435" s="357"/>
    </row>
    <row r="436" spans="7:56">
      <c r="G436" s="357"/>
      <c r="H436" s="357"/>
      <c r="I436" s="357"/>
      <c r="J436" s="357"/>
      <c r="K436" s="357"/>
      <c r="L436" s="357"/>
      <c r="M436" s="357"/>
      <c r="N436" s="357"/>
      <c r="O436" s="357"/>
      <c r="P436" s="357"/>
      <c r="Q436" s="357"/>
      <c r="R436" s="357"/>
      <c r="S436" s="357"/>
      <c r="T436" s="357"/>
      <c r="U436" s="357"/>
      <c r="V436" s="357"/>
      <c r="W436" s="357"/>
      <c r="X436" s="357"/>
      <c r="Y436" s="357"/>
      <c r="Z436" s="357"/>
      <c r="AA436" s="357"/>
      <c r="AB436" s="357"/>
      <c r="AC436" s="357"/>
      <c r="AD436" s="357"/>
      <c r="AE436" s="357"/>
      <c r="AF436" s="357"/>
      <c r="AG436" s="357"/>
      <c r="AH436" s="357"/>
      <c r="AI436" s="357"/>
      <c r="AJ436" s="357"/>
      <c r="AK436" s="357"/>
      <c r="AL436" s="357"/>
      <c r="AM436" s="357"/>
      <c r="AN436" s="357"/>
      <c r="AO436" s="357"/>
      <c r="AP436" s="357"/>
      <c r="AQ436" s="357"/>
      <c r="AR436" s="357"/>
      <c r="AS436" s="357"/>
      <c r="AT436" s="357"/>
      <c r="AU436" s="357"/>
      <c r="AV436" s="357"/>
      <c r="AW436" s="357"/>
      <c r="AX436" s="357"/>
      <c r="AY436" s="357"/>
      <c r="AZ436" s="357"/>
      <c r="BA436" s="357"/>
      <c r="BB436" s="357"/>
      <c r="BC436" s="357"/>
      <c r="BD436" s="357"/>
    </row>
    <row r="437" spans="7:56">
      <c r="G437" s="357"/>
      <c r="H437" s="357"/>
      <c r="I437" s="357"/>
      <c r="J437" s="357"/>
      <c r="K437" s="357"/>
      <c r="L437" s="357"/>
      <c r="M437" s="357"/>
      <c r="N437" s="357"/>
      <c r="O437" s="357"/>
      <c r="P437" s="357"/>
      <c r="Q437" s="357"/>
      <c r="R437" s="357"/>
      <c r="S437" s="357"/>
      <c r="T437" s="357"/>
      <c r="U437" s="357"/>
      <c r="V437" s="357"/>
      <c r="W437" s="357"/>
      <c r="X437" s="357"/>
      <c r="Y437" s="357"/>
      <c r="Z437" s="357"/>
      <c r="AA437" s="357"/>
      <c r="AB437" s="357"/>
      <c r="AC437" s="357"/>
      <c r="AD437" s="357"/>
      <c r="AE437" s="357"/>
      <c r="AF437" s="357"/>
      <c r="AG437" s="357"/>
      <c r="AH437" s="357"/>
      <c r="AI437" s="357"/>
      <c r="AJ437" s="357"/>
      <c r="AK437" s="357"/>
      <c r="AL437" s="357"/>
      <c r="AM437" s="357"/>
      <c r="AN437" s="357"/>
      <c r="AO437" s="357"/>
      <c r="AP437" s="357"/>
      <c r="AQ437" s="357"/>
      <c r="AR437" s="357"/>
      <c r="AS437" s="357"/>
      <c r="AT437" s="357"/>
      <c r="AU437" s="357"/>
      <c r="AV437" s="357"/>
      <c r="AW437" s="357"/>
      <c r="AX437" s="357"/>
      <c r="AY437" s="357"/>
      <c r="AZ437" s="357"/>
      <c r="BA437" s="357"/>
      <c r="BB437" s="357"/>
      <c r="BC437" s="357"/>
      <c r="BD437" s="357"/>
    </row>
    <row r="438" spans="7:56">
      <c r="G438" s="357"/>
      <c r="H438" s="357"/>
      <c r="I438" s="357"/>
      <c r="J438" s="357"/>
      <c r="K438" s="357"/>
      <c r="L438" s="357"/>
      <c r="M438" s="357"/>
      <c r="N438" s="357"/>
      <c r="O438" s="357"/>
      <c r="P438" s="357"/>
      <c r="Q438" s="357"/>
      <c r="R438" s="357"/>
      <c r="S438" s="357"/>
      <c r="T438" s="357"/>
      <c r="U438" s="357"/>
      <c r="V438" s="357"/>
      <c r="W438" s="357"/>
      <c r="X438" s="357"/>
      <c r="Y438" s="357"/>
      <c r="Z438" s="357"/>
      <c r="AA438" s="357"/>
      <c r="AB438" s="357"/>
      <c r="AC438" s="357"/>
      <c r="AD438" s="357"/>
      <c r="AE438" s="357"/>
      <c r="AF438" s="357"/>
      <c r="AG438" s="357"/>
      <c r="AH438" s="357"/>
      <c r="AI438" s="357"/>
      <c r="AJ438" s="357"/>
      <c r="AK438" s="357"/>
      <c r="AL438" s="357"/>
      <c r="AM438" s="357"/>
      <c r="AN438" s="357"/>
      <c r="AO438" s="357"/>
      <c r="AP438" s="357"/>
      <c r="AQ438" s="357"/>
      <c r="AR438" s="357"/>
      <c r="AS438" s="357"/>
      <c r="AT438" s="357"/>
      <c r="AU438" s="357"/>
      <c r="AV438" s="357"/>
      <c r="AW438" s="357"/>
      <c r="AX438" s="357"/>
      <c r="AY438" s="357"/>
      <c r="AZ438" s="357"/>
      <c r="BA438" s="357"/>
      <c r="BB438" s="357"/>
      <c r="BC438" s="357"/>
      <c r="BD438" s="357"/>
    </row>
    <row r="439" spans="7:56">
      <c r="G439" s="357"/>
      <c r="H439" s="357"/>
      <c r="I439" s="357"/>
      <c r="J439" s="357"/>
      <c r="K439" s="357"/>
      <c r="L439" s="357"/>
      <c r="M439" s="357"/>
      <c r="N439" s="357"/>
      <c r="O439" s="357"/>
      <c r="P439" s="357"/>
      <c r="Q439" s="357"/>
      <c r="R439" s="357"/>
      <c r="S439" s="357"/>
      <c r="T439" s="357"/>
      <c r="U439" s="357"/>
      <c r="V439" s="357"/>
      <c r="W439" s="357"/>
      <c r="X439" s="357"/>
      <c r="Y439" s="357"/>
      <c r="Z439" s="357"/>
      <c r="AA439" s="357"/>
      <c r="AB439" s="357"/>
      <c r="AC439" s="357"/>
      <c r="AD439" s="357"/>
      <c r="AE439" s="357"/>
      <c r="AF439" s="357"/>
      <c r="AG439" s="357"/>
      <c r="AH439" s="357"/>
      <c r="AI439" s="357"/>
      <c r="AJ439" s="357"/>
      <c r="AK439" s="357"/>
      <c r="AL439" s="357"/>
      <c r="AM439" s="357"/>
      <c r="AN439" s="357"/>
      <c r="AO439" s="357"/>
      <c r="AP439" s="357"/>
      <c r="AQ439" s="357"/>
      <c r="AR439" s="357"/>
      <c r="AS439" s="357"/>
      <c r="AT439" s="357"/>
      <c r="AU439" s="357"/>
      <c r="AV439" s="357"/>
      <c r="AW439" s="357"/>
      <c r="AX439" s="357"/>
      <c r="AY439" s="357"/>
      <c r="AZ439" s="357"/>
      <c r="BA439" s="357"/>
      <c r="BB439" s="357"/>
      <c r="BC439" s="357"/>
      <c r="BD439" s="357"/>
    </row>
    <row r="440" spans="7:56">
      <c r="G440" s="357"/>
      <c r="H440" s="357"/>
      <c r="I440" s="357"/>
      <c r="J440" s="357"/>
      <c r="K440" s="357"/>
      <c r="L440" s="357"/>
      <c r="M440" s="357"/>
      <c r="N440" s="357"/>
      <c r="O440" s="357"/>
      <c r="P440" s="357"/>
      <c r="Q440" s="357"/>
      <c r="R440" s="357"/>
      <c r="S440" s="357"/>
      <c r="T440" s="357"/>
      <c r="U440" s="357"/>
      <c r="V440" s="357"/>
      <c r="W440" s="357"/>
      <c r="X440" s="357"/>
      <c r="Y440" s="357"/>
      <c r="Z440" s="357"/>
      <c r="AA440" s="357"/>
      <c r="AB440" s="357"/>
      <c r="AC440" s="357"/>
      <c r="AD440" s="357"/>
      <c r="AE440" s="357"/>
      <c r="AF440" s="357"/>
      <c r="AG440" s="357"/>
      <c r="AH440" s="357"/>
      <c r="AI440" s="357"/>
      <c r="AJ440" s="357"/>
      <c r="AK440" s="357"/>
      <c r="AL440" s="357"/>
      <c r="AM440" s="357"/>
      <c r="AN440" s="357"/>
      <c r="AO440" s="357"/>
      <c r="AP440" s="357"/>
      <c r="AQ440" s="357"/>
      <c r="AR440" s="357"/>
      <c r="AS440" s="357"/>
      <c r="AT440" s="357"/>
      <c r="AU440" s="357"/>
      <c r="AV440" s="357"/>
      <c r="AW440" s="357"/>
      <c r="AX440" s="357"/>
      <c r="AY440" s="357"/>
      <c r="AZ440" s="357"/>
      <c r="BA440" s="357"/>
      <c r="BB440" s="357"/>
      <c r="BC440" s="357"/>
      <c r="BD440" s="357"/>
    </row>
    <row r="441" spans="7:56">
      <c r="G441" s="357"/>
      <c r="H441" s="357"/>
      <c r="I441" s="357"/>
      <c r="J441" s="357"/>
      <c r="K441" s="357"/>
      <c r="L441" s="357"/>
      <c r="M441" s="357"/>
      <c r="N441" s="357"/>
      <c r="O441" s="357"/>
      <c r="P441" s="357"/>
      <c r="Q441" s="357"/>
      <c r="R441" s="357"/>
      <c r="S441" s="357"/>
      <c r="T441" s="357"/>
      <c r="U441" s="357"/>
      <c r="V441" s="357"/>
      <c r="W441" s="357"/>
      <c r="X441" s="357"/>
      <c r="Y441" s="357"/>
      <c r="Z441" s="357"/>
      <c r="AA441" s="357"/>
      <c r="AB441" s="357"/>
      <c r="AC441" s="357"/>
      <c r="AD441" s="357"/>
      <c r="AE441" s="357"/>
      <c r="AF441" s="357"/>
      <c r="AG441" s="357"/>
      <c r="AH441" s="357"/>
      <c r="AI441" s="357"/>
      <c r="AJ441" s="357"/>
      <c r="AK441" s="357"/>
      <c r="AL441" s="357"/>
      <c r="AM441" s="357"/>
      <c r="AN441" s="357"/>
      <c r="AO441" s="357"/>
      <c r="AP441" s="357"/>
      <c r="AQ441" s="357"/>
      <c r="AR441" s="357"/>
      <c r="AS441" s="357"/>
      <c r="AT441" s="357"/>
      <c r="AU441" s="357"/>
      <c r="AV441" s="357"/>
      <c r="AW441" s="357"/>
      <c r="AX441" s="357"/>
      <c r="AY441" s="357"/>
      <c r="AZ441" s="357"/>
      <c r="BA441" s="357"/>
      <c r="BB441" s="357"/>
      <c r="BC441" s="357"/>
      <c r="BD441" s="357"/>
    </row>
    <row r="442" spans="7:56">
      <c r="G442" s="357"/>
      <c r="H442" s="357"/>
      <c r="I442" s="357"/>
      <c r="J442" s="357"/>
      <c r="K442" s="357"/>
      <c r="L442" s="357"/>
      <c r="M442" s="357"/>
      <c r="N442" s="357"/>
      <c r="O442" s="357"/>
      <c r="P442" s="357"/>
      <c r="Q442" s="357"/>
      <c r="R442" s="357"/>
      <c r="S442" s="357"/>
      <c r="T442" s="357"/>
      <c r="U442" s="357"/>
      <c r="V442" s="357"/>
      <c r="W442" s="357"/>
      <c r="X442" s="357"/>
      <c r="Y442" s="357"/>
      <c r="Z442" s="357"/>
      <c r="AA442" s="357"/>
      <c r="AB442" s="357"/>
      <c r="AC442" s="357"/>
      <c r="AD442" s="357"/>
      <c r="AE442" s="357"/>
      <c r="AF442" s="357"/>
      <c r="AG442" s="357"/>
      <c r="AH442" s="357"/>
      <c r="AI442" s="357"/>
      <c r="AJ442" s="357"/>
      <c r="AK442" s="357"/>
      <c r="AL442" s="357"/>
      <c r="AM442" s="357"/>
      <c r="AN442" s="357"/>
      <c r="AO442" s="357"/>
      <c r="AP442" s="357"/>
      <c r="AQ442" s="357"/>
      <c r="AR442" s="357"/>
      <c r="AS442" s="357"/>
      <c r="AT442" s="357"/>
      <c r="AU442" s="357"/>
      <c r="AV442" s="357"/>
      <c r="AW442" s="357"/>
      <c r="AX442" s="357"/>
      <c r="AY442" s="357"/>
      <c r="AZ442" s="357"/>
      <c r="BA442" s="357"/>
      <c r="BB442" s="357"/>
      <c r="BC442" s="357"/>
      <c r="BD442" s="357"/>
    </row>
    <row r="443" spans="7:56">
      <c r="G443" s="357"/>
      <c r="H443" s="357"/>
      <c r="I443" s="357"/>
      <c r="J443" s="357"/>
      <c r="K443" s="357"/>
      <c r="L443" s="357"/>
      <c r="M443" s="357"/>
      <c r="N443" s="357"/>
      <c r="O443" s="357"/>
      <c r="P443" s="357"/>
      <c r="Q443" s="357"/>
      <c r="R443" s="357"/>
      <c r="S443" s="357"/>
      <c r="T443" s="357"/>
      <c r="U443" s="357"/>
      <c r="V443" s="357"/>
      <c r="W443" s="357"/>
      <c r="X443" s="357"/>
      <c r="Y443" s="357"/>
      <c r="Z443" s="357"/>
      <c r="AA443" s="357"/>
      <c r="AB443" s="357"/>
      <c r="AC443" s="357"/>
      <c r="AD443" s="357"/>
      <c r="AE443" s="357"/>
      <c r="AF443" s="357"/>
      <c r="AG443" s="357"/>
      <c r="AH443" s="357"/>
      <c r="AI443" s="357"/>
      <c r="AJ443" s="357"/>
      <c r="AK443" s="357"/>
      <c r="AL443" s="357"/>
      <c r="AM443" s="357"/>
      <c r="AN443" s="357"/>
      <c r="AO443" s="357"/>
      <c r="AP443" s="357"/>
      <c r="AQ443" s="357"/>
      <c r="AR443" s="357"/>
      <c r="AS443" s="357"/>
      <c r="AT443" s="357"/>
      <c r="AU443" s="357"/>
      <c r="AV443" s="357"/>
      <c r="AW443" s="357"/>
      <c r="AX443" s="357"/>
      <c r="AY443" s="357"/>
      <c r="AZ443" s="357"/>
      <c r="BA443" s="357"/>
      <c r="BB443" s="357"/>
      <c r="BC443" s="357"/>
      <c r="BD443" s="357"/>
    </row>
    <row r="444" spans="7:56">
      <c r="G444" s="357"/>
      <c r="H444" s="357"/>
      <c r="I444" s="357"/>
      <c r="J444" s="357"/>
      <c r="K444" s="357"/>
      <c r="L444" s="357"/>
      <c r="M444" s="357"/>
      <c r="N444" s="357"/>
      <c r="O444" s="357"/>
      <c r="P444" s="357"/>
      <c r="Q444" s="357"/>
      <c r="R444" s="357"/>
      <c r="S444" s="357"/>
      <c r="T444" s="357"/>
      <c r="U444" s="357"/>
      <c r="V444" s="357"/>
      <c r="W444" s="357"/>
      <c r="X444" s="357"/>
      <c r="Y444" s="357"/>
      <c r="Z444" s="357"/>
      <c r="AA444" s="357"/>
      <c r="AB444" s="357"/>
      <c r="AC444" s="357"/>
      <c r="AD444" s="357"/>
      <c r="AE444" s="357"/>
      <c r="AF444" s="357"/>
      <c r="AG444" s="357"/>
      <c r="AH444" s="357"/>
      <c r="AI444" s="357"/>
      <c r="AJ444" s="357"/>
      <c r="AK444" s="357"/>
      <c r="AL444" s="357"/>
      <c r="AM444" s="357"/>
      <c r="AN444" s="357"/>
      <c r="AO444" s="357"/>
      <c r="AP444" s="357"/>
      <c r="AQ444" s="357"/>
      <c r="AR444" s="357"/>
      <c r="AS444" s="357"/>
      <c r="AT444" s="357"/>
      <c r="AU444" s="357"/>
      <c r="AV444" s="357"/>
      <c r="AW444" s="357"/>
      <c r="AX444" s="357"/>
      <c r="AY444" s="357"/>
      <c r="AZ444" s="357"/>
      <c r="BA444" s="357"/>
      <c r="BB444" s="357"/>
      <c r="BC444" s="357"/>
      <c r="BD444" s="357"/>
    </row>
    <row r="445" spans="7:56">
      <c r="G445" s="357"/>
      <c r="H445" s="357"/>
      <c r="I445" s="357"/>
      <c r="J445" s="357"/>
      <c r="K445" s="357"/>
      <c r="L445" s="357"/>
      <c r="M445" s="357"/>
      <c r="N445" s="357"/>
      <c r="O445" s="357"/>
      <c r="P445" s="357"/>
      <c r="Q445" s="357"/>
      <c r="R445" s="357"/>
      <c r="S445" s="357"/>
      <c r="T445" s="357"/>
      <c r="U445" s="357"/>
      <c r="V445" s="357"/>
      <c r="W445" s="357"/>
      <c r="X445" s="357"/>
      <c r="Y445" s="357"/>
      <c r="Z445" s="357"/>
      <c r="AA445" s="357"/>
      <c r="AB445" s="357"/>
      <c r="AC445" s="357"/>
      <c r="AD445" s="357"/>
      <c r="AE445" s="357"/>
      <c r="AF445" s="357"/>
      <c r="AG445" s="357"/>
      <c r="AH445" s="357"/>
      <c r="AI445" s="357"/>
      <c r="AJ445" s="357"/>
      <c r="AK445" s="357"/>
      <c r="AL445" s="357"/>
      <c r="AM445" s="357"/>
      <c r="AN445" s="357"/>
      <c r="AO445" s="357"/>
      <c r="AP445" s="357"/>
      <c r="AQ445" s="357"/>
      <c r="AR445" s="357"/>
      <c r="AS445" s="357"/>
      <c r="AT445" s="357"/>
      <c r="AU445" s="357"/>
      <c r="AV445" s="357"/>
      <c r="AW445" s="357"/>
      <c r="AX445" s="357"/>
      <c r="AY445" s="357"/>
      <c r="AZ445" s="357"/>
      <c r="BA445" s="357"/>
      <c r="BB445" s="357"/>
      <c r="BC445" s="357"/>
      <c r="BD445" s="357"/>
    </row>
    <row r="446" spans="7:56">
      <c r="G446" s="357"/>
      <c r="H446" s="357"/>
      <c r="I446" s="357"/>
      <c r="J446" s="357"/>
      <c r="K446" s="357"/>
      <c r="L446" s="357"/>
      <c r="M446" s="357"/>
      <c r="N446" s="357"/>
      <c r="O446" s="357"/>
      <c r="P446" s="357"/>
      <c r="Q446" s="357"/>
      <c r="R446" s="357"/>
      <c r="S446" s="357"/>
      <c r="T446" s="357"/>
      <c r="U446" s="357"/>
      <c r="V446" s="357"/>
      <c r="W446" s="357"/>
      <c r="X446" s="357"/>
      <c r="Y446" s="357"/>
      <c r="Z446" s="357"/>
      <c r="AA446" s="357"/>
      <c r="AB446" s="357"/>
      <c r="AC446" s="357"/>
      <c r="AD446" s="357"/>
      <c r="AE446" s="357"/>
      <c r="AF446" s="357"/>
      <c r="AG446" s="357"/>
      <c r="AH446" s="357"/>
      <c r="AI446" s="357"/>
      <c r="AJ446" s="357"/>
      <c r="AK446" s="357"/>
      <c r="AL446" s="357"/>
      <c r="AM446" s="357"/>
      <c r="AN446" s="357"/>
      <c r="AO446" s="357"/>
      <c r="AP446" s="357"/>
      <c r="AQ446" s="357"/>
      <c r="AR446" s="357"/>
      <c r="AS446" s="357"/>
      <c r="AT446" s="357"/>
      <c r="AU446" s="357"/>
      <c r="AV446" s="357"/>
      <c r="AW446" s="357"/>
      <c r="AX446" s="357"/>
      <c r="AY446" s="357"/>
      <c r="AZ446" s="357"/>
      <c r="BA446" s="357"/>
      <c r="BB446" s="357"/>
      <c r="BC446" s="357"/>
      <c r="BD446" s="357"/>
    </row>
    <row r="447" spans="7:56">
      <c r="G447" s="357"/>
      <c r="H447" s="357"/>
      <c r="I447" s="357"/>
      <c r="J447" s="357"/>
      <c r="K447" s="357"/>
      <c r="L447" s="357"/>
      <c r="M447" s="357"/>
      <c r="N447" s="357"/>
      <c r="O447" s="357"/>
      <c r="P447" s="357"/>
      <c r="Q447" s="357"/>
      <c r="R447" s="357"/>
      <c r="S447" s="357"/>
      <c r="T447" s="357"/>
      <c r="U447" s="357"/>
      <c r="V447" s="357"/>
      <c r="W447" s="357"/>
      <c r="X447" s="357"/>
      <c r="Y447" s="357"/>
      <c r="Z447" s="357"/>
      <c r="AA447" s="357"/>
      <c r="AB447" s="357"/>
      <c r="AC447" s="357"/>
      <c r="AD447" s="357"/>
      <c r="AE447" s="357"/>
      <c r="AF447" s="357"/>
      <c r="AG447" s="357"/>
      <c r="AH447" s="357"/>
      <c r="AI447" s="357"/>
      <c r="AJ447" s="357"/>
      <c r="AK447" s="357"/>
      <c r="AL447" s="357"/>
      <c r="AM447" s="357"/>
      <c r="AN447" s="357"/>
      <c r="AO447" s="357"/>
      <c r="AP447" s="357"/>
      <c r="AQ447" s="357"/>
      <c r="AR447" s="357"/>
      <c r="AS447" s="357"/>
      <c r="AT447" s="357"/>
      <c r="AU447" s="357"/>
      <c r="AV447" s="357"/>
      <c r="AW447" s="357"/>
      <c r="AX447" s="357"/>
      <c r="AY447" s="357"/>
      <c r="AZ447" s="357"/>
      <c r="BA447" s="357"/>
      <c r="BB447" s="357"/>
      <c r="BC447" s="357"/>
      <c r="BD447" s="357"/>
    </row>
    <row r="448" spans="7:56">
      <c r="G448" s="357"/>
      <c r="H448" s="357"/>
      <c r="I448" s="357"/>
      <c r="J448" s="357"/>
      <c r="K448" s="357"/>
      <c r="L448" s="357"/>
      <c r="M448" s="357"/>
      <c r="N448" s="357"/>
      <c r="O448" s="357"/>
      <c r="P448" s="357"/>
      <c r="Q448" s="357"/>
      <c r="R448" s="357"/>
      <c r="S448" s="357"/>
      <c r="T448" s="357"/>
      <c r="U448" s="357"/>
      <c r="V448" s="357"/>
      <c r="W448" s="357"/>
      <c r="X448" s="357"/>
      <c r="Y448" s="357"/>
      <c r="Z448" s="357"/>
      <c r="AA448" s="357"/>
      <c r="AB448" s="357"/>
      <c r="AC448" s="357"/>
      <c r="AD448" s="357"/>
      <c r="AE448" s="357"/>
      <c r="AF448" s="357"/>
      <c r="AG448" s="357"/>
      <c r="AH448" s="357"/>
      <c r="AI448" s="357"/>
      <c r="AJ448" s="357"/>
      <c r="AK448" s="357"/>
      <c r="AL448" s="357"/>
      <c r="AM448" s="357"/>
      <c r="AN448" s="357"/>
      <c r="AO448" s="357"/>
      <c r="AP448" s="357"/>
      <c r="AQ448" s="357"/>
      <c r="AR448" s="357"/>
      <c r="AS448" s="357"/>
      <c r="AT448" s="357"/>
      <c r="AU448" s="357"/>
      <c r="AV448" s="357"/>
      <c r="AW448" s="357"/>
      <c r="AX448" s="357"/>
      <c r="AY448" s="357"/>
      <c r="AZ448" s="357"/>
      <c r="BA448" s="357"/>
      <c r="BB448" s="357"/>
      <c r="BC448" s="357"/>
      <c r="BD448" s="357"/>
    </row>
    <row r="449" spans="7:56">
      <c r="G449" s="357"/>
      <c r="H449" s="357"/>
      <c r="I449" s="357"/>
      <c r="J449" s="357"/>
      <c r="K449" s="357"/>
      <c r="L449" s="357"/>
      <c r="M449" s="357"/>
      <c r="N449" s="357"/>
      <c r="O449" s="357"/>
      <c r="P449" s="357"/>
      <c r="Q449" s="357"/>
      <c r="R449" s="357"/>
      <c r="S449" s="357"/>
      <c r="T449" s="357"/>
      <c r="U449" s="357"/>
      <c r="V449" s="357"/>
      <c r="W449" s="357"/>
      <c r="X449" s="357"/>
      <c r="Y449" s="357"/>
      <c r="Z449" s="357"/>
      <c r="AA449" s="357"/>
      <c r="AB449" s="357"/>
      <c r="AC449" s="357"/>
      <c r="AD449" s="357"/>
      <c r="AE449" s="357"/>
      <c r="AF449" s="357"/>
      <c r="AG449" s="357"/>
      <c r="AH449" s="357"/>
      <c r="AI449" s="357"/>
      <c r="AJ449" s="357"/>
      <c r="AK449" s="357"/>
      <c r="AL449" s="357"/>
      <c r="AM449" s="357"/>
      <c r="AN449" s="357"/>
      <c r="AO449" s="357"/>
      <c r="AP449" s="357"/>
      <c r="AQ449" s="357"/>
      <c r="AR449" s="357"/>
      <c r="AS449" s="357"/>
      <c r="AT449" s="357"/>
      <c r="AU449" s="357"/>
      <c r="AV449" s="357"/>
      <c r="AW449" s="357"/>
      <c r="AX449" s="357"/>
      <c r="AY449" s="357"/>
      <c r="AZ449" s="357"/>
      <c r="BA449" s="357"/>
      <c r="BB449" s="357"/>
      <c r="BC449" s="357"/>
      <c r="BD449" s="357"/>
    </row>
    <row r="450" spans="7:56">
      <c r="G450" s="357"/>
      <c r="H450" s="357"/>
      <c r="I450" s="357"/>
      <c r="J450" s="357"/>
      <c r="K450" s="357"/>
      <c r="L450" s="357"/>
      <c r="M450" s="357"/>
      <c r="N450" s="357"/>
      <c r="O450" s="357"/>
      <c r="P450" s="357"/>
      <c r="Q450" s="357"/>
      <c r="R450" s="357"/>
      <c r="S450" s="357"/>
      <c r="T450" s="357"/>
      <c r="U450" s="357"/>
      <c r="V450" s="357"/>
      <c r="W450" s="357"/>
      <c r="X450" s="357"/>
      <c r="Y450" s="357"/>
      <c r="Z450" s="357"/>
      <c r="AA450" s="357"/>
      <c r="AB450" s="357"/>
      <c r="AC450" s="357"/>
      <c r="AD450" s="357"/>
      <c r="AE450" s="357"/>
      <c r="AF450" s="357"/>
      <c r="AG450" s="357"/>
      <c r="AH450" s="357"/>
      <c r="AI450" s="357"/>
      <c r="AJ450" s="357"/>
      <c r="AK450" s="357"/>
      <c r="AL450" s="357"/>
      <c r="AM450" s="357"/>
      <c r="AN450" s="357"/>
      <c r="AO450" s="357"/>
      <c r="AP450" s="357"/>
      <c r="AQ450" s="357"/>
      <c r="AR450" s="357"/>
      <c r="AS450" s="357"/>
      <c r="AT450" s="357"/>
      <c r="AU450" s="357"/>
      <c r="AV450" s="357"/>
      <c r="AW450" s="357"/>
      <c r="AX450" s="357"/>
      <c r="AY450" s="357"/>
      <c r="AZ450" s="357"/>
      <c r="BA450" s="357"/>
      <c r="BB450" s="357"/>
      <c r="BC450" s="357"/>
      <c r="BD450" s="357"/>
    </row>
    <row r="451" spans="7:56">
      <c r="G451" s="357"/>
      <c r="H451" s="357"/>
      <c r="I451" s="357"/>
      <c r="J451" s="357"/>
      <c r="K451" s="357"/>
      <c r="L451" s="357"/>
      <c r="M451" s="357"/>
      <c r="N451" s="357"/>
      <c r="O451" s="357"/>
      <c r="P451" s="357"/>
      <c r="Q451" s="357"/>
      <c r="R451" s="357"/>
      <c r="S451" s="357"/>
      <c r="T451" s="357"/>
      <c r="U451" s="357"/>
      <c r="V451" s="357"/>
      <c r="W451" s="357"/>
      <c r="X451" s="357"/>
      <c r="Y451" s="357"/>
      <c r="Z451" s="357"/>
      <c r="AA451" s="357"/>
      <c r="AB451" s="357"/>
      <c r="AC451" s="357"/>
      <c r="AD451" s="357"/>
      <c r="AE451" s="357"/>
      <c r="AF451" s="357"/>
      <c r="AG451" s="357"/>
      <c r="AH451" s="357"/>
      <c r="AI451" s="357"/>
      <c r="AJ451" s="357"/>
      <c r="AK451" s="357"/>
      <c r="AL451" s="357"/>
      <c r="AM451" s="357"/>
      <c r="AN451" s="357"/>
      <c r="AO451" s="357"/>
      <c r="AP451" s="357"/>
      <c r="AQ451" s="357"/>
      <c r="AR451" s="357"/>
      <c r="AS451" s="357"/>
      <c r="AT451" s="357"/>
      <c r="AU451" s="357"/>
      <c r="AV451" s="357"/>
      <c r="AW451" s="357"/>
      <c r="AX451" s="357"/>
      <c r="AY451" s="357"/>
      <c r="AZ451" s="357"/>
      <c r="BA451" s="357"/>
      <c r="BB451" s="357"/>
      <c r="BC451" s="357"/>
      <c r="BD451" s="357"/>
    </row>
    <row r="452" spans="7:56">
      <c r="G452" s="357"/>
      <c r="H452" s="357"/>
      <c r="I452" s="357"/>
      <c r="J452" s="357"/>
      <c r="K452" s="357"/>
      <c r="L452" s="357"/>
      <c r="M452" s="357"/>
      <c r="N452" s="357"/>
      <c r="O452" s="357"/>
      <c r="P452" s="357"/>
      <c r="Q452" s="357"/>
      <c r="R452" s="357"/>
      <c r="S452" s="357"/>
      <c r="T452" s="357"/>
      <c r="U452" s="357"/>
      <c r="V452" s="357"/>
      <c r="W452" s="357"/>
      <c r="X452" s="357"/>
      <c r="Y452" s="357"/>
      <c r="Z452" s="357"/>
      <c r="AA452" s="357"/>
      <c r="AB452" s="357"/>
      <c r="AC452" s="357"/>
      <c r="AD452" s="357"/>
      <c r="AE452" s="357"/>
      <c r="AF452" s="357"/>
      <c r="AG452" s="357"/>
      <c r="AH452" s="357"/>
      <c r="AI452" s="357"/>
      <c r="AJ452" s="357"/>
      <c r="AK452" s="357"/>
      <c r="AL452" s="357"/>
      <c r="AM452" s="357"/>
      <c r="AN452" s="357"/>
      <c r="AO452" s="357"/>
      <c r="AP452" s="357"/>
      <c r="AQ452" s="357"/>
      <c r="AR452" s="357"/>
      <c r="AS452" s="357"/>
      <c r="AT452" s="357"/>
      <c r="AU452" s="357"/>
      <c r="AV452" s="357"/>
      <c r="AW452" s="357"/>
      <c r="AX452" s="357"/>
      <c r="AY452" s="357"/>
      <c r="AZ452" s="357"/>
      <c r="BA452" s="357"/>
      <c r="BB452" s="357"/>
      <c r="BC452" s="357"/>
      <c r="BD452" s="357"/>
    </row>
    <row r="453" spans="7:56">
      <c r="G453" s="357"/>
      <c r="H453" s="357"/>
      <c r="I453" s="357"/>
      <c r="J453" s="357"/>
      <c r="K453" s="357"/>
      <c r="L453" s="357"/>
      <c r="M453" s="357"/>
      <c r="N453" s="357"/>
      <c r="O453" s="357"/>
      <c r="P453" s="357"/>
      <c r="Q453" s="357"/>
      <c r="R453" s="357"/>
      <c r="S453" s="357"/>
      <c r="T453" s="357"/>
      <c r="U453" s="357"/>
      <c r="V453" s="357"/>
      <c r="W453" s="357"/>
      <c r="X453" s="357"/>
      <c r="Y453" s="357"/>
      <c r="Z453" s="357"/>
      <c r="AA453" s="357"/>
      <c r="AB453" s="357"/>
      <c r="AC453" s="357"/>
      <c r="AD453" s="357"/>
      <c r="AE453" s="357"/>
      <c r="AF453" s="357"/>
      <c r="AG453" s="357"/>
      <c r="AH453" s="357"/>
      <c r="AI453" s="357"/>
      <c r="AJ453" s="357"/>
      <c r="AK453" s="357"/>
      <c r="AL453" s="357"/>
      <c r="AM453" s="357"/>
      <c r="AN453" s="357"/>
      <c r="AO453" s="357"/>
      <c r="AP453" s="357"/>
      <c r="AQ453" s="357"/>
      <c r="AR453" s="357"/>
      <c r="AS453" s="357"/>
      <c r="AT453" s="357"/>
      <c r="AU453" s="357"/>
      <c r="AV453" s="357"/>
      <c r="AW453" s="357"/>
      <c r="AX453" s="357"/>
      <c r="AY453" s="357"/>
      <c r="AZ453" s="357"/>
      <c r="BA453" s="357"/>
      <c r="BB453" s="357"/>
      <c r="BC453" s="357"/>
      <c r="BD453" s="357"/>
    </row>
    <row r="454" spans="7:56">
      <c r="G454" s="357"/>
      <c r="H454" s="357"/>
      <c r="I454" s="357"/>
      <c r="J454" s="357"/>
      <c r="K454" s="357"/>
      <c r="L454" s="357"/>
      <c r="M454" s="357"/>
      <c r="N454" s="357"/>
      <c r="O454" s="357"/>
      <c r="P454" s="357"/>
      <c r="Q454" s="357"/>
      <c r="R454" s="357"/>
      <c r="S454" s="357"/>
      <c r="T454" s="357"/>
      <c r="U454" s="357"/>
      <c r="V454" s="357"/>
      <c r="W454" s="357"/>
      <c r="X454" s="357"/>
      <c r="Y454" s="357"/>
      <c r="Z454" s="357"/>
      <c r="AA454" s="357"/>
      <c r="AB454" s="357"/>
      <c r="AC454" s="357"/>
      <c r="AD454" s="357"/>
      <c r="AE454" s="357"/>
      <c r="AF454" s="357"/>
      <c r="AG454" s="357"/>
      <c r="AH454" s="357"/>
      <c r="AI454" s="357"/>
      <c r="AJ454" s="357"/>
      <c r="AK454" s="357"/>
      <c r="AL454" s="357"/>
      <c r="AM454" s="357"/>
      <c r="AN454" s="357"/>
      <c r="AO454" s="357"/>
      <c r="AP454" s="357"/>
      <c r="AQ454" s="357"/>
      <c r="AR454" s="357"/>
      <c r="AS454" s="357"/>
      <c r="AT454" s="357"/>
      <c r="AU454" s="357"/>
      <c r="AV454" s="357"/>
      <c r="AW454" s="357"/>
      <c r="AX454" s="357"/>
      <c r="AY454" s="357"/>
      <c r="AZ454" s="357"/>
      <c r="BA454" s="357"/>
      <c r="BB454" s="357"/>
      <c r="BC454" s="357"/>
      <c r="BD454" s="357"/>
    </row>
    <row r="455" spans="7:56">
      <c r="G455" s="357"/>
      <c r="H455" s="357"/>
      <c r="I455" s="357"/>
      <c r="J455" s="357"/>
      <c r="K455" s="357"/>
      <c r="L455" s="357"/>
      <c r="M455" s="357"/>
      <c r="N455" s="357"/>
      <c r="O455" s="357"/>
      <c r="P455" s="357"/>
      <c r="Q455" s="357"/>
      <c r="R455" s="357"/>
      <c r="S455" s="357"/>
      <c r="T455" s="357"/>
      <c r="U455" s="357"/>
      <c r="V455" s="357"/>
      <c r="W455" s="357"/>
      <c r="X455" s="357"/>
      <c r="Y455" s="357"/>
      <c r="Z455" s="357"/>
      <c r="AA455" s="357"/>
      <c r="AB455" s="357"/>
      <c r="AC455" s="357"/>
      <c r="AD455" s="357"/>
      <c r="AE455" s="357"/>
      <c r="AF455" s="357"/>
      <c r="AG455" s="357"/>
      <c r="AH455" s="357"/>
      <c r="AI455" s="357"/>
      <c r="AJ455" s="357"/>
      <c r="AK455" s="357"/>
      <c r="AL455" s="357"/>
      <c r="AM455" s="357"/>
      <c r="AN455" s="357"/>
      <c r="AO455" s="357"/>
      <c r="AP455" s="357"/>
      <c r="AQ455" s="357"/>
      <c r="AR455" s="357"/>
      <c r="AS455" s="357"/>
      <c r="AT455" s="357"/>
      <c r="AU455" s="357"/>
      <c r="AV455" s="357"/>
      <c r="AW455" s="357"/>
      <c r="AX455" s="357"/>
      <c r="AY455" s="357"/>
      <c r="AZ455" s="357"/>
      <c r="BA455" s="357"/>
      <c r="BB455" s="357"/>
      <c r="BC455" s="357"/>
      <c r="BD455" s="357"/>
    </row>
    <row r="456" spans="7:56">
      <c r="G456" s="357"/>
      <c r="H456" s="357"/>
      <c r="I456" s="357"/>
      <c r="J456" s="357"/>
      <c r="K456" s="357"/>
      <c r="L456" s="357"/>
      <c r="M456" s="357"/>
      <c r="N456" s="357"/>
      <c r="O456" s="357"/>
      <c r="P456" s="357"/>
      <c r="Q456" s="357"/>
      <c r="R456" s="357"/>
      <c r="S456" s="357"/>
      <c r="T456" s="357"/>
      <c r="U456" s="357"/>
      <c r="V456" s="357"/>
      <c r="W456" s="357"/>
      <c r="X456" s="357"/>
      <c r="Y456" s="357"/>
      <c r="Z456" s="357"/>
      <c r="AA456" s="357"/>
      <c r="AB456" s="357"/>
      <c r="AC456" s="357"/>
      <c r="AD456" s="357"/>
      <c r="AE456" s="357"/>
      <c r="AF456" s="357"/>
      <c r="AG456" s="357"/>
      <c r="AH456" s="357"/>
      <c r="AI456" s="357"/>
      <c r="AJ456" s="357"/>
      <c r="AK456" s="357"/>
      <c r="AL456" s="357"/>
      <c r="AM456" s="357"/>
      <c r="AN456" s="357"/>
      <c r="AO456" s="357"/>
      <c r="AP456" s="357"/>
      <c r="AQ456" s="357"/>
      <c r="AR456" s="357"/>
      <c r="AS456" s="357"/>
      <c r="AT456" s="357"/>
      <c r="AU456" s="357"/>
      <c r="AV456" s="357"/>
      <c r="AW456" s="357"/>
      <c r="AX456" s="357"/>
      <c r="AY456" s="357"/>
      <c r="AZ456" s="357"/>
      <c r="BA456" s="357"/>
      <c r="BB456" s="357"/>
      <c r="BC456" s="357"/>
      <c r="BD456" s="357"/>
    </row>
    <row r="457" spans="7:56">
      <c r="G457" s="357"/>
      <c r="H457" s="357"/>
      <c r="I457" s="357"/>
      <c r="J457" s="357"/>
      <c r="K457" s="357"/>
      <c r="L457" s="357"/>
      <c r="M457" s="357"/>
      <c r="N457" s="357"/>
      <c r="O457" s="357"/>
      <c r="P457" s="357"/>
      <c r="Q457" s="357"/>
      <c r="R457" s="357"/>
      <c r="S457" s="357"/>
      <c r="T457" s="357"/>
      <c r="U457" s="357"/>
      <c r="V457" s="357"/>
      <c r="W457" s="357"/>
      <c r="X457" s="357"/>
      <c r="Y457" s="357"/>
      <c r="Z457" s="357"/>
      <c r="AA457" s="357"/>
      <c r="AB457" s="357"/>
      <c r="AC457" s="357"/>
      <c r="AD457" s="357"/>
      <c r="AE457" s="357"/>
      <c r="AF457" s="357"/>
      <c r="AG457" s="357"/>
      <c r="AH457" s="357"/>
      <c r="AI457" s="357"/>
      <c r="AJ457" s="357"/>
      <c r="AK457" s="357"/>
      <c r="AL457" s="357"/>
      <c r="AM457" s="357"/>
      <c r="AN457" s="357"/>
      <c r="AO457" s="357"/>
      <c r="AP457" s="357"/>
      <c r="AQ457" s="357"/>
      <c r="AR457" s="357"/>
      <c r="AS457" s="357"/>
      <c r="AT457" s="357"/>
      <c r="AU457" s="357"/>
      <c r="AV457" s="357"/>
      <c r="AW457" s="357"/>
      <c r="AX457" s="357"/>
      <c r="AY457" s="357"/>
      <c r="AZ457" s="357"/>
      <c r="BA457" s="357"/>
      <c r="BB457" s="357"/>
      <c r="BC457" s="357"/>
      <c r="BD457" s="357"/>
    </row>
    <row r="458" spans="7:56">
      <c r="G458" s="357"/>
      <c r="H458" s="357"/>
      <c r="I458" s="357"/>
      <c r="J458" s="357"/>
      <c r="K458" s="357"/>
      <c r="L458" s="357"/>
      <c r="M458" s="357"/>
      <c r="N458" s="357"/>
      <c r="O458" s="357"/>
      <c r="P458" s="357"/>
      <c r="Q458" s="357"/>
      <c r="R458" s="357"/>
      <c r="S458" s="357"/>
      <c r="T458" s="357"/>
      <c r="U458" s="357"/>
      <c r="V458" s="357"/>
      <c r="W458" s="357"/>
      <c r="X458" s="357"/>
      <c r="Y458" s="357"/>
      <c r="Z458" s="357"/>
      <c r="AA458" s="357"/>
      <c r="AB458" s="357"/>
      <c r="AC458" s="357"/>
      <c r="AD458" s="357"/>
      <c r="AE458" s="357"/>
      <c r="AF458" s="357"/>
      <c r="AG458" s="357"/>
      <c r="AH458" s="357"/>
      <c r="AI458" s="357"/>
      <c r="AJ458" s="357"/>
      <c r="AK458" s="357"/>
      <c r="AL458" s="357"/>
      <c r="AM458" s="357"/>
      <c r="AN458" s="357"/>
      <c r="AO458" s="357"/>
      <c r="AP458" s="357"/>
      <c r="AQ458" s="357"/>
      <c r="AR458" s="357"/>
      <c r="AS458" s="357"/>
      <c r="AT458" s="357"/>
      <c r="AU458" s="357"/>
      <c r="AV458" s="357"/>
      <c r="AW458" s="357"/>
      <c r="AX458" s="357"/>
      <c r="AY458" s="357"/>
      <c r="AZ458" s="357"/>
      <c r="BA458" s="357"/>
      <c r="BB458" s="357"/>
      <c r="BC458" s="357"/>
      <c r="BD458" s="357"/>
    </row>
    <row r="459" spans="7:56">
      <c r="G459" s="357"/>
      <c r="H459" s="357"/>
      <c r="I459" s="357"/>
      <c r="J459" s="357"/>
      <c r="K459" s="357"/>
      <c r="L459" s="357"/>
      <c r="M459" s="357"/>
      <c r="N459" s="357"/>
      <c r="O459" s="357"/>
      <c r="P459" s="357"/>
      <c r="Q459" s="357"/>
      <c r="R459" s="357"/>
      <c r="S459" s="357"/>
      <c r="T459" s="357"/>
      <c r="U459" s="357"/>
      <c r="V459" s="357"/>
      <c r="W459" s="357"/>
      <c r="X459" s="357"/>
      <c r="Y459" s="357"/>
      <c r="Z459" s="357"/>
      <c r="AA459" s="357"/>
      <c r="AB459" s="357"/>
      <c r="AC459" s="357"/>
      <c r="AD459" s="357"/>
      <c r="AE459" s="357"/>
      <c r="AF459" s="357"/>
      <c r="AG459" s="357"/>
      <c r="AH459" s="357"/>
      <c r="AI459" s="357"/>
      <c r="AJ459" s="357"/>
      <c r="AK459" s="357"/>
      <c r="AL459" s="357"/>
      <c r="AM459" s="357"/>
      <c r="AN459" s="357"/>
      <c r="AO459" s="357"/>
      <c r="AP459" s="357"/>
      <c r="AQ459" s="357"/>
      <c r="AR459" s="357"/>
      <c r="AS459" s="357"/>
      <c r="AT459" s="357"/>
      <c r="AU459" s="357"/>
      <c r="AV459" s="357"/>
      <c r="AW459" s="357"/>
      <c r="AX459" s="357"/>
      <c r="AY459" s="357"/>
      <c r="AZ459" s="357"/>
      <c r="BA459" s="357"/>
      <c r="BB459" s="357"/>
      <c r="BC459" s="357"/>
      <c r="BD459" s="357"/>
    </row>
    <row r="460" spans="7:56">
      <c r="G460" s="357"/>
      <c r="H460" s="357"/>
      <c r="I460" s="357"/>
      <c r="J460" s="357"/>
      <c r="K460" s="357"/>
      <c r="L460" s="357"/>
      <c r="M460" s="357"/>
      <c r="N460" s="357"/>
      <c r="O460" s="357"/>
      <c r="P460" s="357"/>
      <c r="Q460" s="357"/>
      <c r="R460" s="357"/>
      <c r="S460" s="357"/>
      <c r="T460" s="357"/>
      <c r="U460" s="357"/>
      <c r="V460" s="357"/>
      <c r="W460" s="357"/>
      <c r="X460" s="357"/>
      <c r="Y460" s="357"/>
      <c r="Z460" s="357"/>
      <c r="AA460" s="357"/>
      <c r="AB460" s="357"/>
      <c r="AC460" s="357"/>
      <c r="AD460" s="357"/>
      <c r="AE460" s="357"/>
      <c r="AF460" s="357"/>
      <c r="AG460" s="357"/>
      <c r="AH460" s="357"/>
      <c r="AI460" s="357"/>
      <c r="AJ460" s="357"/>
      <c r="AK460" s="357"/>
      <c r="AL460" s="357"/>
      <c r="AM460" s="357"/>
      <c r="AN460" s="357"/>
      <c r="AO460" s="357"/>
      <c r="AP460" s="357"/>
      <c r="AQ460" s="357"/>
      <c r="AR460" s="357"/>
      <c r="AS460" s="357"/>
      <c r="AT460" s="357"/>
      <c r="AU460" s="357"/>
      <c r="AV460" s="357"/>
      <c r="AW460" s="357"/>
      <c r="AX460" s="357"/>
      <c r="AY460" s="357"/>
      <c r="AZ460" s="357"/>
      <c r="BA460" s="357"/>
      <c r="BB460" s="357"/>
      <c r="BC460" s="357"/>
      <c r="BD460" s="357"/>
    </row>
    <row r="461" spans="7:56">
      <c r="G461" s="357"/>
      <c r="H461" s="357"/>
      <c r="I461" s="357"/>
      <c r="J461" s="357"/>
      <c r="K461" s="357"/>
      <c r="L461" s="357"/>
      <c r="M461" s="357"/>
      <c r="N461" s="357"/>
      <c r="O461" s="357"/>
      <c r="P461" s="357"/>
      <c r="Q461" s="357"/>
      <c r="R461" s="357"/>
      <c r="S461" s="357"/>
      <c r="T461" s="357"/>
      <c r="U461" s="357"/>
      <c r="V461" s="357"/>
      <c r="W461" s="357"/>
      <c r="X461" s="357"/>
      <c r="Y461" s="357"/>
      <c r="Z461" s="357"/>
      <c r="AA461" s="357"/>
      <c r="AB461" s="357"/>
      <c r="AC461" s="357"/>
      <c r="AD461" s="357"/>
      <c r="AE461" s="357"/>
      <c r="AF461" s="357"/>
      <c r="AG461" s="357"/>
      <c r="AH461" s="357"/>
      <c r="AI461" s="357"/>
      <c r="AJ461" s="357"/>
      <c r="AK461" s="357"/>
      <c r="AL461" s="357"/>
      <c r="AM461" s="357"/>
      <c r="AN461" s="357"/>
      <c r="AO461" s="357"/>
      <c r="AP461" s="357"/>
      <c r="AQ461" s="357"/>
      <c r="AR461" s="357"/>
      <c r="AS461" s="357"/>
      <c r="AT461" s="357"/>
      <c r="AU461" s="357"/>
      <c r="AV461" s="357"/>
      <c r="AW461" s="357"/>
      <c r="AX461" s="357"/>
      <c r="AY461" s="357"/>
      <c r="AZ461" s="357"/>
      <c r="BA461" s="357"/>
      <c r="BB461" s="357"/>
      <c r="BC461" s="357"/>
      <c r="BD461" s="357"/>
    </row>
    <row r="462" spans="7:56">
      <c r="G462" s="357"/>
      <c r="H462" s="357"/>
      <c r="I462" s="357"/>
      <c r="J462" s="357"/>
      <c r="K462" s="357"/>
      <c r="L462" s="357"/>
      <c r="M462" s="357"/>
      <c r="N462" s="357"/>
      <c r="O462" s="357"/>
      <c r="P462" s="357"/>
      <c r="Q462" s="357"/>
      <c r="R462" s="357"/>
      <c r="S462" s="357"/>
      <c r="T462" s="357"/>
      <c r="U462" s="357"/>
      <c r="V462" s="357"/>
      <c r="W462" s="357"/>
      <c r="X462" s="357"/>
      <c r="Y462" s="357"/>
      <c r="Z462" s="357"/>
      <c r="AA462" s="357"/>
      <c r="AB462" s="357"/>
      <c r="AC462" s="357"/>
      <c r="AD462" s="357"/>
      <c r="AE462" s="357"/>
      <c r="AF462" s="357"/>
      <c r="AG462" s="357"/>
      <c r="AH462" s="357"/>
      <c r="AI462" s="357"/>
      <c r="AJ462" s="357"/>
      <c r="AK462" s="357"/>
      <c r="AL462" s="357"/>
      <c r="AM462" s="357"/>
      <c r="AN462" s="357"/>
      <c r="AO462" s="357"/>
      <c r="AP462" s="357"/>
      <c r="AQ462" s="357"/>
      <c r="AR462" s="357"/>
      <c r="AS462" s="357"/>
      <c r="AT462" s="357"/>
      <c r="AU462" s="357"/>
      <c r="AV462" s="357"/>
      <c r="AW462" s="357"/>
      <c r="AX462" s="357"/>
      <c r="AY462" s="357"/>
      <c r="AZ462" s="357"/>
      <c r="BA462" s="357"/>
      <c r="BB462" s="357"/>
      <c r="BC462" s="357"/>
      <c r="BD462" s="357"/>
    </row>
    <row r="463" spans="7:56">
      <c r="G463" s="357"/>
      <c r="H463" s="357"/>
      <c r="I463" s="357"/>
      <c r="J463" s="357"/>
      <c r="K463" s="357"/>
      <c r="L463" s="357"/>
      <c r="M463" s="357"/>
      <c r="N463" s="357"/>
      <c r="O463" s="357"/>
      <c r="P463" s="357"/>
      <c r="Q463" s="357"/>
      <c r="R463" s="357"/>
      <c r="S463" s="357"/>
      <c r="T463" s="357"/>
      <c r="U463" s="357"/>
      <c r="V463" s="357"/>
      <c r="W463" s="357"/>
      <c r="X463" s="357"/>
      <c r="Y463" s="357"/>
      <c r="Z463" s="357"/>
      <c r="AA463" s="357"/>
      <c r="AB463" s="357"/>
      <c r="AC463" s="357"/>
      <c r="AD463" s="357"/>
      <c r="AE463" s="357"/>
      <c r="AF463" s="357"/>
      <c r="AG463" s="357"/>
      <c r="AH463" s="357"/>
      <c r="AI463" s="357"/>
      <c r="AJ463" s="357"/>
      <c r="AK463" s="357"/>
      <c r="AL463" s="357"/>
      <c r="AM463" s="357"/>
      <c r="AN463" s="357"/>
      <c r="AO463" s="357"/>
      <c r="AP463" s="357"/>
      <c r="AQ463" s="357"/>
      <c r="AR463" s="357"/>
      <c r="AS463" s="357"/>
      <c r="AT463" s="357"/>
      <c r="AU463" s="357"/>
      <c r="AV463" s="357"/>
      <c r="AW463" s="357"/>
      <c r="AX463" s="357"/>
      <c r="AY463" s="357"/>
      <c r="AZ463" s="357"/>
      <c r="BA463" s="357"/>
      <c r="BB463" s="357"/>
      <c r="BC463" s="357"/>
      <c r="BD463" s="357"/>
    </row>
    <row r="464" spans="7:56">
      <c r="G464" s="357"/>
      <c r="H464" s="357"/>
      <c r="I464" s="357"/>
      <c r="J464" s="357"/>
      <c r="K464" s="357"/>
      <c r="L464" s="357"/>
      <c r="M464" s="357"/>
      <c r="N464" s="357"/>
      <c r="O464" s="357"/>
      <c r="P464" s="357"/>
      <c r="Q464" s="357"/>
      <c r="R464" s="357"/>
      <c r="S464" s="357"/>
      <c r="T464" s="357"/>
      <c r="U464" s="357"/>
      <c r="V464" s="357"/>
      <c r="W464" s="357"/>
      <c r="X464" s="357"/>
      <c r="Y464" s="357"/>
      <c r="Z464" s="357"/>
      <c r="AA464" s="357"/>
      <c r="AB464" s="357"/>
      <c r="AC464" s="357"/>
      <c r="AD464" s="357"/>
      <c r="AE464" s="357"/>
      <c r="AF464" s="357"/>
      <c r="AG464" s="357"/>
      <c r="AH464" s="357"/>
      <c r="AI464" s="357"/>
      <c r="AJ464" s="357"/>
      <c r="AK464" s="357"/>
      <c r="AL464" s="357"/>
      <c r="AM464" s="357"/>
      <c r="AN464" s="357"/>
      <c r="AO464" s="357"/>
      <c r="AP464" s="357"/>
      <c r="AQ464" s="357"/>
      <c r="AR464" s="357"/>
      <c r="AS464" s="357"/>
      <c r="AT464" s="357"/>
      <c r="AU464" s="357"/>
      <c r="AV464" s="357"/>
      <c r="AW464" s="357"/>
      <c r="AX464" s="357"/>
      <c r="AY464" s="357"/>
      <c r="AZ464" s="357"/>
      <c r="BA464" s="357"/>
      <c r="BB464" s="357"/>
      <c r="BC464" s="357"/>
      <c r="BD464" s="357"/>
    </row>
    <row r="465" spans="7:56">
      <c r="G465" s="357"/>
      <c r="H465" s="357"/>
      <c r="I465" s="357"/>
      <c r="J465" s="357"/>
      <c r="K465" s="357"/>
      <c r="L465" s="357"/>
      <c r="M465" s="357"/>
      <c r="N465" s="357"/>
      <c r="O465" s="357"/>
      <c r="P465" s="357"/>
      <c r="Q465" s="357"/>
      <c r="R465" s="357"/>
      <c r="S465" s="357"/>
      <c r="T465" s="357"/>
      <c r="U465" s="357"/>
      <c r="V465" s="357"/>
      <c r="W465" s="357"/>
      <c r="X465" s="357"/>
      <c r="Y465" s="357"/>
      <c r="Z465" s="357"/>
      <c r="AA465" s="357"/>
      <c r="AB465" s="357"/>
      <c r="AC465" s="357"/>
      <c r="AD465" s="357"/>
      <c r="AE465" s="357"/>
      <c r="AF465" s="357"/>
      <c r="AG465" s="357"/>
      <c r="AH465" s="357"/>
      <c r="AI465" s="357"/>
      <c r="AJ465" s="357"/>
      <c r="AK465" s="357"/>
      <c r="AL465" s="357"/>
      <c r="AM465" s="357"/>
      <c r="AN465" s="357"/>
      <c r="AO465" s="357"/>
      <c r="AP465" s="357"/>
      <c r="AQ465" s="357"/>
      <c r="AR465" s="357"/>
      <c r="AS465" s="357"/>
      <c r="AT465" s="357"/>
      <c r="AU465" s="357"/>
      <c r="AV465" s="357"/>
      <c r="AW465" s="357"/>
      <c r="AX465" s="357"/>
      <c r="AY465" s="357"/>
      <c r="AZ465" s="357"/>
      <c r="BA465" s="357"/>
      <c r="BB465" s="357"/>
      <c r="BC465" s="357"/>
      <c r="BD465" s="357"/>
    </row>
    <row r="466" spans="7:56">
      <c r="G466" s="357"/>
      <c r="H466" s="357"/>
      <c r="I466" s="357"/>
      <c r="J466" s="357"/>
      <c r="K466" s="357"/>
      <c r="L466" s="357"/>
      <c r="M466" s="357"/>
      <c r="N466" s="357"/>
      <c r="O466" s="357"/>
      <c r="P466" s="357"/>
      <c r="Q466" s="357"/>
      <c r="R466" s="357"/>
      <c r="S466" s="357"/>
      <c r="T466" s="357"/>
      <c r="U466" s="357"/>
      <c r="V466" s="357"/>
      <c r="W466" s="357"/>
      <c r="X466" s="357"/>
      <c r="Y466" s="357"/>
      <c r="Z466" s="357"/>
      <c r="AA466" s="357"/>
      <c r="AB466" s="357"/>
      <c r="AC466" s="357"/>
      <c r="AD466" s="357"/>
      <c r="AE466" s="357"/>
      <c r="AF466" s="357"/>
      <c r="AG466" s="357"/>
      <c r="AH466" s="357"/>
      <c r="AI466" s="357"/>
      <c r="AJ466" s="357"/>
      <c r="AK466" s="357"/>
      <c r="AL466" s="357"/>
      <c r="AM466" s="357"/>
      <c r="AN466" s="357"/>
      <c r="AO466" s="357"/>
      <c r="AP466" s="357"/>
      <c r="AQ466" s="357"/>
      <c r="AR466" s="357"/>
      <c r="AS466" s="357"/>
      <c r="AT466" s="357"/>
      <c r="AU466" s="357"/>
      <c r="AV466" s="357"/>
      <c r="AW466" s="357"/>
      <c r="AX466" s="357"/>
      <c r="AY466" s="357"/>
      <c r="AZ466" s="357"/>
      <c r="BA466" s="357"/>
      <c r="BB466" s="357"/>
      <c r="BC466" s="357"/>
      <c r="BD466" s="357"/>
    </row>
    <row r="467" spans="7:56">
      <c r="G467" s="357"/>
      <c r="H467" s="357"/>
      <c r="I467" s="357"/>
      <c r="J467" s="357"/>
      <c r="K467" s="357"/>
      <c r="L467" s="357"/>
      <c r="M467" s="357"/>
      <c r="N467" s="357"/>
      <c r="O467" s="357"/>
      <c r="P467" s="357"/>
      <c r="Q467" s="357"/>
      <c r="R467" s="357"/>
      <c r="S467" s="357"/>
      <c r="T467" s="357"/>
      <c r="U467" s="357"/>
      <c r="V467" s="357"/>
      <c r="W467" s="357"/>
      <c r="X467" s="357"/>
      <c r="Y467" s="357"/>
      <c r="Z467" s="357"/>
      <c r="AA467" s="357"/>
      <c r="AB467" s="357"/>
      <c r="AC467" s="357"/>
      <c r="AD467" s="357"/>
      <c r="AE467" s="357"/>
      <c r="AF467" s="357"/>
      <c r="AG467" s="357"/>
      <c r="AH467" s="357"/>
      <c r="AI467" s="357"/>
      <c r="AJ467" s="357"/>
      <c r="AK467" s="357"/>
      <c r="AL467" s="357"/>
      <c r="AM467" s="357"/>
      <c r="AN467" s="357"/>
      <c r="AO467" s="357"/>
      <c r="AP467" s="357"/>
      <c r="AQ467" s="357"/>
      <c r="AR467" s="357"/>
      <c r="AS467" s="357"/>
      <c r="AT467" s="357"/>
      <c r="AU467" s="357"/>
      <c r="AV467" s="357"/>
      <c r="AW467" s="357"/>
      <c r="AX467" s="357"/>
      <c r="AY467" s="357"/>
      <c r="AZ467" s="357"/>
      <c r="BA467" s="357"/>
      <c r="BB467" s="357"/>
      <c r="BC467" s="357"/>
      <c r="BD467" s="357"/>
    </row>
    <row r="468" spans="7:56">
      <c r="G468" s="357"/>
      <c r="H468" s="357"/>
      <c r="I468" s="357"/>
      <c r="J468" s="357"/>
      <c r="K468" s="357"/>
      <c r="L468" s="357"/>
      <c r="M468" s="357"/>
      <c r="N468" s="357"/>
      <c r="O468" s="357"/>
      <c r="P468" s="357"/>
      <c r="Q468" s="357"/>
      <c r="R468" s="357"/>
      <c r="S468" s="357"/>
      <c r="T468" s="357"/>
      <c r="U468" s="357"/>
      <c r="V468" s="357"/>
      <c r="W468" s="357"/>
      <c r="X468" s="357"/>
      <c r="Y468" s="357"/>
      <c r="Z468" s="357"/>
      <c r="AA468" s="357"/>
      <c r="AB468" s="357"/>
      <c r="AC468" s="357"/>
      <c r="AD468" s="357"/>
      <c r="AE468" s="357"/>
      <c r="AF468" s="357"/>
      <c r="AG468" s="357"/>
      <c r="AH468" s="357"/>
      <c r="AI468" s="357"/>
      <c r="AJ468" s="357"/>
      <c r="AK468" s="357"/>
      <c r="AL468" s="357"/>
      <c r="AM468" s="357"/>
      <c r="AN468" s="357"/>
      <c r="AO468" s="357"/>
      <c r="AP468" s="357"/>
      <c r="AQ468" s="357"/>
      <c r="AR468" s="357"/>
      <c r="AS468" s="357"/>
      <c r="AT468" s="357"/>
      <c r="AU468" s="357"/>
      <c r="AV468" s="357"/>
      <c r="AW468" s="357"/>
      <c r="AX468" s="357"/>
      <c r="AY468" s="357"/>
      <c r="AZ468" s="357"/>
      <c r="BA468" s="357"/>
      <c r="BB468" s="357"/>
      <c r="BC468" s="357"/>
      <c r="BD468" s="357"/>
    </row>
    <row r="469" spans="7:56">
      <c r="G469" s="357"/>
      <c r="H469" s="357"/>
      <c r="I469" s="357"/>
      <c r="J469" s="357"/>
      <c r="K469" s="357"/>
      <c r="L469" s="357"/>
      <c r="M469" s="357"/>
      <c r="N469" s="357"/>
      <c r="O469" s="357"/>
      <c r="P469" s="357"/>
      <c r="Q469" s="357"/>
      <c r="R469" s="357"/>
      <c r="S469" s="357"/>
      <c r="T469" s="357"/>
      <c r="U469" s="357"/>
      <c r="V469" s="357"/>
      <c r="W469" s="357"/>
      <c r="X469" s="357"/>
      <c r="Y469" s="357"/>
      <c r="Z469" s="357"/>
      <c r="AA469" s="357"/>
      <c r="AB469" s="357"/>
      <c r="AC469" s="357"/>
      <c r="AD469" s="357"/>
      <c r="AE469" s="357"/>
      <c r="AF469" s="357"/>
      <c r="AG469" s="357"/>
      <c r="AH469" s="357"/>
      <c r="AI469" s="357"/>
      <c r="AJ469" s="357"/>
      <c r="AK469" s="357"/>
      <c r="AL469" s="357"/>
      <c r="AM469" s="357"/>
      <c r="AN469" s="357"/>
      <c r="AO469" s="357"/>
      <c r="AP469" s="357"/>
      <c r="AQ469" s="357"/>
      <c r="AR469" s="357"/>
      <c r="AS469" s="357"/>
      <c r="AT469" s="357"/>
      <c r="AU469" s="357"/>
      <c r="AV469" s="357"/>
      <c r="AW469" s="357"/>
      <c r="AX469" s="357"/>
      <c r="AY469" s="357"/>
      <c r="AZ469" s="357"/>
      <c r="BA469" s="357"/>
      <c r="BB469" s="357"/>
      <c r="BC469" s="357"/>
      <c r="BD469" s="357"/>
    </row>
    <row r="470" spans="7:56">
      <c r="G470" s="357"/>
      <c r="H470" s="357"/>
      <c r="I470" s="357"/>
      <c r="J470" s="357"/>
      <c r="K470" s="357"/>
      <c r="L470" s="357"/>
      <c r="M470" s="357"/>
      <c r="N470" s="357"/>
      <c r="O470" s="357"/>
      <c r="P470" s="357"/>
      <c r="Q470" s="357"/>
      <c r="R470" s="357"/>
      <c r="S470" s="357"/>
      <c r="T470" s="357"/>
      <c r="U470" s="357"/>
      <c r="V470" s="357"/>
      <c r="W470" s="357"/>
      <c r="X470" s="357"/>
      <c r="Y470" s="357"/>
      <c r="Z470" s="357"/>
      <c r="AA470" s="357"/>
      <c r="AB470" s="357"/>
      <c r="AC470" s="357"/>
      <c r="AD470" s="357"/>
      <c r="AE470" s="357"/>
      <c r="AF470" s="357"/>
      <c r="AG470" s="357"/>
      <c r="AH470" s="357"/>
      <c r="AI470" s="357"/>
      <c r="AJ470" s="357"/>
      <c r="AK470" s="357"/>
      <c r="AL470" s="357"/>
      <c r="AM470" s="357"/>
      <c r="AN470" s="357"/>
      <c r="AO470" s="357"/>
      <c r="AP470" s="357"/>
      <c r="AQ470" s="357"/>
      <c r="AR470" s="357"/>
      <c r="AS470" s="357"/>
      <c r="AT470" s="357"/>
      <c r="AU470" s="357"/>
      <c r="AV470" s="357"/>
      <c r="AW470" s="357"/>
      <c r="AX470" s="357"/>
      <c r="AY470" s="357"/>
      <c r="AZ470" s="357"/>
      <c r="BA470" s="357"/>
      <c r="BB470" s="357"/>
      <c r="BC470" s="357"/>
      <c r="BD470" s="357"/>
    </row>
    <row r="471" spans="7:56">
      <c r="G471" s="357"/>
      <c r="H471" s="357"/>
      <c r="I471" s="357"/>
      <c r="J471" s="357"/>
      <c r="K471" s="357"/>
      <c r="L471" s="357"/>
      <c r="M471" s="357"/>
      <c r="N471" s="357"/>
      <c r="O471" s="357"/>
      <c r="P471" s="357"/>
      <c r="Q471" s="357"/>
      <c r="R471" s="357"/>
      <c r="S471" s="357"/>
      <c r="T471" s="357"/>
      <c r="U471" s="357"/>
      <c r="V471" s="357"/>
      <c r="W471" s="357"/>
      <c r="X471" s="357"/>
      <c r="Y471" s="357"/>
      <c r="Z471" s="357"/>
      <c r="AA471" s="357"/>
      <c r="AB471" s="357"/>
      <c r="AC471" s="357"/>
      <c r="AD471" s="357"/>
      <c r="AE471" s="357"/>
      <c r="AF471" s="357"/>
      <c r="AG471" s="357"/>
      <c r="AH471" s="357"/>
      <c r="AI471" s="357"/>
      <c r="AJ471" s="357"/>
      <c r="AK471" s="357"/>
      <c r="AL471" s="357"/>
      <c r="AM471" s="357"/>
      <c r="AN471" s="357"/>
      <c r="AO471" s="357"/>
      <c r="AP471" s="357"/>
      <c r="AQ471" s="357"/>
      <c r="AR471" s="357"/>
      <c r="AS471" s="357"/>
      <c r="AT471" s="357"/>
      <c r="AU471" s="357"/>
      <c r="AV471" s="357"/>
      <c r="AW471" s="357"/>
      <c r="AX471" s="357"/>
      <c r="AY471" s="357"/>
      <c r="AZ471" s="357"/>
      <c r="BA471" s="357"/>
      <c r="BB471" s="357"/>
      <c r="BC471" s="357"/>
      <c r="BD471" s="357"/>
    </row>
    <row r="472" spans="7:56">
      <c r="G472" s="357"/>
      <c r="H472" s="357"/>
      <c r="I472" s="357"/>
      <c r="J472" s="357"/>
      <c r="K472" s="357"/>
      <c r="L472" s="357"/>
      <c r="M472" s="357"/>
      <c r="N472" s="357"/>
      <c r="O472" s="357"/>
      <c r="P472" s="357"/>
      <c r="Q472" s="357"/>
      <c r="R472" s="357"/>
      <c r="S472" s="357"/>
      <c r="T472" s="357"/>
      <c r="U472" s="357"/>
      <c r="V472" s="357"/>
      <c r="W472" s="357"/>
      <c r="X472" s="357"/>
      <c r="Y472" s="357"/>
      <c r="Z472" s="357"/>
      <c r="AA472" s="357"/>
      <c r="AB472" s="357"/>
      <c r="AC472" s="357"/>
      <c r="AD472" s="357"/>
      <c r="AE472" s="357"/>
      <c r="AF472" s="357"/>
      <c r="AG472" s="357"/>
      <c r="AH472" s="357"/>
      <c r="AI472" s="357"/>
      <c r="AJ472" s="357"/>
      <c r="AK472" s="357"/>
      <c r="AL472" s="357"/>
      <c r="AM472" s="357"/>
      <c r="AN472" s="357"/>
      <c r="AO472" s="357"/>
      <c r="AP472" s="357"/>
      <c r="AQ472" s="357"/>
      <c r="AR472" s="357"/>
      <c r="AS472" s="357"/>
      <c r="AT472" s="357"/>
      <c r="AU472" s="357"/>
      <c r="AV472" s="357"/>
      <c r="AW472" s="357"/>
      <c r="AX472" s="357"/>
      <c r="AY472" s="357"/>
      <c r="AZ472" s="357"/>
      <c r="BA472" s="357"/>
      <c r="BB472" s="357"/>
      <c r="BC472" s="357"/>
      <c r="BD472" s="357"/>
    </row>
    <row r="473" spans="7:56">
      <c r="G473" s="357"/>
      <c r="H473" s="357"/>
      <c r="I473" s="357"/>
      <c r="J473" s="357"/>
      <c r="K473" s="357"/>
      <c r="L473" s="357"/>
      <c r="M473" s="357"/>
      <c r="N473" s="357"/>
      <c r="O473" s="357"/>
      <c r="P473" s="357"/>
      <c r="Q473" s="357"/>
      <c r="R473" s="357"/>
      <c r="S473" s="357"/>
      <c r="T473" s="357"/>
      <c r="U473" s="357"/>
      <c r="V473" s="357"/>
      <c r="W473" s="357"/>
      <c r="X473" s="357"/>
      <c r="Y473" s="357"/>
      <c r="Z473" s="357"/>
      <c r="AA473" s="357"/>
      <c r="AB473" s="357"/>
      <c r="AC473" s="357"/>
      <c r="AD473" s="357"/>
      <c r="AE473" s="357"/>
      <c r="AF473" s="357"/>
      <c r="AG473" s="357"/>
      <c r="AH473" s="357"/>
      <c r="AI473" s="357"/>
      <c r="AJ473" s="357"/>
      <c r="AK473" s="357"/>
      <c r="AL473" s="357"/>
      <c r="AM473" s="357"/>
      <c r="AN473" s="357"/>
      <c r="AO473" s="357"/>
      <c r="AP473" s="357"/>
      <c r="AQ473" s="357"/>
      <c r="AR473" s="357"/>
      <c r="AS473" s="357"/>
      <c r="AT473" s="357"/>
      <c r="AU473" s="357"/>
      <c r="AV473" s="357"/>
      <c r="AW473" s="357"/>
      <c r="AX473" s="357"/>
      <c r="AY473" s="357"/>
      <c r="AZ473" s="357"/>
      <c r="BA473" s="357"/>
      <c r="BB473" s="357"/>
      <c r="BC473" s="357"/>
      <c r="BD473" s="357"/>
    </row>
    <row r="474" spans="7:56">
      <c r="G474" s="357"/>
      <c r="H474" s="357"/>
      <c r="I474" s="357"/>
      <c r="J474" s="357"/>
      <c r="K474" s="357"/>
      <c r="L474" s="357"/>
      <c r="M474" s="357"/>
      <c r="N474" s="357"/>
      <c r="O474" s="357"/>
      <c r="P474" s="357"/>
      <c r="Q474" s="357"/>
      <c r="R474" s="357"/>
      <c r="S474" s="357"/>
      <c r="T474" s="357"/>
      <c r="U474" s="357"/>
      <c r="V474" s="357"/>
      <c r="W474" s="357"/>
      <c r="X474" s="357"/>
      <c r="Y474" s="357"/>
      <c r="Z474" s="357"/>
      <c r="AA474" s="357"/>
      <c r="AB474" s="357"/>
      <c r="AC474" s="357"/>
      <c r="AD474" s="357"/>
      <c r="AE474" s="357"/>
      <c r="AF474" s="357"/>
      <c r="AG474" s="357"/>
      <c r="AH474" s="357"/>
      <c r="AI474" s="357"/>
      <c r="AJ474" s="357"/>
      <c r="AK474" s="357"/>
      <c r="AL474" s="357"/>
      <c r="AM474" s="357"/>
      <c r="AN474" s="357"/>
      <c r="AO474" s="357"/>
      <c r="AP474" s="357"/>
      <c r="AQ474" s="357"/>
      <c r="AR474" s="357"/>
      <c r="AS474" s="357"/>
      <c r="AT474" s="357"/>
      <c r="AU474" s="357"/>
      <c r="AV474" s="357"/>
      <c r="AW474" s="357"/>
      <c r="AX474" s="357"/>
      <c r="AY474" s="357"/>
      <c r="AZ474" s="357"/>
      <c r="BA474" s="357"/>
      <c r="BB474" s="357"/>
      <c r="BC474" s="357"/>
      <c r="BD474" s="357"/>
    </row>
    <row r="475" spans="7:56">
      <c r="G475" s="357"/>
      <c r="H475" s="357"/>
      <c r="I475" s="357"/>
      <c r="J475" s="357"/>
      <c r="K475" s="357"/>
      <c r="L475" s="357"/>
      <c r="M475" s="357"/>
      <c r="N475" s="357"/>
      <c r="O475" s="357"/>
      <c r="P475" s="357"/>
      <c r="Q475" s="357"/>
      <c r="R475" s="357"/>
      <c r="S475" s="357"/>
      <c r="T475" s="357"/>
      <c r="U475" s="357"/>
      <c r="V475" s="357"/>
      <c r="W475" s="357"/>
      <c r="X475" s="357"/>
      <c r="Y475" s="357"/>
      <c r="Z475" s="357"/>
      <c r="AA475" s="357"/>
      <c r="AB475" s="357"/>
      <c r="AC475" s="357"/>
      <c r="AD475" s="357"/>
      <c r="AE475" s="357"/>
      <c r="AF475" s="357"/>
      <c r="AG475" s="357"/>
      <c r="AH475" s="357"/>
      <c r="AI475" s="357"/>
      <c r="AJ475" s="357"/>
      <c r="AK475" s="357"/>
      <c r="AL475" s="357"/>
      <c r="AM475" s="357"/>
      <c r="AN475" s="357"/>
      <c r="AO475" s="357"/>
      <c r="AP475" s="357"/>
      <c r="AQ475" s="357"/>
      <c r="AR475" s="357"/>
      <c r="AS475" s="357"/>
      <c r="AT475" s="357"/>
      <c r="AU475" s="357"/>
      <c r="AV475" s="357"/>
      <c r="AW475" s="357"/>
      <c r="AX475" s="357"/>
      <c r="AY475" s="357"/>
      <c r="AZ475" s="357"/>
      <c r="BA475" s="357"/>
      <c r="BB475" s="357"/>
      <c r="BC475" s="357"/>
      <c r="BD475" s="357"/>
    </row>
    <row r="476" spans="7:56">
      <c r="G476" s="357"/>
      <c r="H476" s="357"/>
      <c r="I476" s="357"/>
      <c r="J476" s="357"/>
      <c r="K476" s="357"/>
      <c r="L476" s="357"/>
      <c r="M476" s="357"/>
      <c r="N476" s="357"/>
      <c r="O476" s="357"/>
      <c r="P476" s="357"/>
      <c r="Q476" s="357"/>
      <c r="R476" s="357"/>
      <c r="S476" s="357"/>
      <c r="T476" s="357"/>
      <c r="U476" s="357"/>
      <c r="V476" s="357"/>
      <c r="W476" s="357"/>
      <c r="X476" s="357"/>
      <c r="Y476" s="357"/>
      <c r="Z476" s="357"/>
      <c r="AA476" s="357"/>
      <c r="AB476" s="357"/>
      <c r="AC476" s="357"/>
      <c r="AD476" s="357"/>
      <c r="AE476" s="357"/>
      <c r="AF476" s="357"/>
      <c r="AG476" s="357"/>
      <c r="AH476" s="357"/>
      <c r="AI476" s="357"/>
      <c r="AJ476" s="357"/>
      <c r="AK476" s="357"/>
      <c r="AL476" s="357"/>
      <c r="AM476" s="357"/>
      <c r="AN476" s="357"/>
      <c r="AO476" s="357"/>
      <c r="AP476" s="357"/>
      <c r="AQ476" s="357"/>
      <c r="AR476" s="357"/>
      <c r="AS476" s="357"/>
      <c r="AT476" s="357"/>
      <c r="AU476" s="357"/>
      <c r="AV476" s="357"/>
      <c r="AW476" s="357"/>
      <c r="AX476" s="357"/>
      <c r="AY476" s="357"/>
      <c r="AZ476" s="357"/>
      <c r="BA476" s="357"/>
      <c r="BB476" s="357"/>
      <c r="BC476" s="357"/>
      <c r="BD476" s="357"/>
    </row>
    <row r="477" spans="7:56">
      <c r="G477" s="357"/>
      <c r="H477" s="357"/>
      <c r="I477" s="357"/>
      <c r="J477" s="357"/>
      <c r="K477" s="357"/>
      <c r="L477" s="357"/>
      <c r="M477" s="357"/>
      <c r="N477" s="357"/>
      <c r="O477" s="357"/>
      <c r="P477" s="357"/>
      <c r="Q477" s="357"/>
      <c r="R477" s="357"/>
      <c r="S477" s="357"/>
      <c r="T477" s="357"/>
      <c r="U477" s="357"/>
      <c r="V477" s="357"/>
      <c r="W477" s="357"/>
      <c r="X477" s="357"/>
      <c r="Y477" s="357"/>
      <c r="Z477" s="357"/>
      <c r="AA477" s="357"/>
      <c r="AB477" s="357"/>
      <c r="AC477" s="357"/>
      <c r="AD477" s="357"/>
      <c r="AE477" s="357"/>
      <c r="AF477" s="357"/>
      <c r="AG477" s="357"/>
      <c r="AH477" s="357"/>
      <c r="AI477" s="357"/>
      <c r="AJ477" s="357"/>
      <c r="AK477" s="357"/>
      <c r="AL477" s="357"/>
      <c r="AM477" s="357"/>
      <c r="AN477" s="357"/>
      <c r="AO477" s="357"/>
      <c r="AP477" s="357"/>
      <c r="AQ477" s="357"/>
      <c r="AR477" s="357"/>
      <c r="AS477" s="357"/>
      <c r="AT477" s="357"/>
      <c r="AU477" s="357"/>
      <c r="AV477" s="357"/>
      <c r="AW477" s="357"/>
      <c r="AX477" s="357"/>
      <c r="AY477" s="357"/>
      <c r="AZ477" s="357"/>
      <c r="BA477" s="357"/>
      <c r="BB477" s="357"/>
      <c r="BC477" s="357"/>
      <c r="BD477" s="357"/>
    </row>
    <row r="478" spans="7:56">
      <c r="G478" s="357"/>
      <c r="H478" s="357"/>
      <c r="I478" s="357"/>
      <c r="J478" s="357"/>
      <c r="K478" s="357"/>
      <c r="L478" s="357"/>
      <c r="M478" s="357"/>
      <c r="N478" s="357"/>
      <c r="O478" s="357"/>
      <c r="P478" s="357"/>
      <c r="Q478" s="357"/>
      <c r="R478" s="357"/>
      <c r="S478" s="357"/>
      <c r="T478" s="357"/>
      <c r="U478" s="357"/>
      <c r="V478" s="357"/>
      <c r="W478" s="357"/>
      <c r="X478" s="357"/>
      <c r="Y478" s="357"/>
      <c r="Z478" s="357"/>
      <c r="AA478" s="357"/>
      <c r="AB478" s="357"/>
      <c r="AC478" s="357"/>
      <c r="AD478" s="357"/>
      <c r="AE478" s="357"/>
      <c r="AF478" s="357"/>
      <c r="AG478" s="357"/>
      <c r="AH478" s="357"/>
      <c r="AI478" s="357"/>
      <c r="AJ478" s="357"/>
      <c r="AK478" s="357"/>
      <c r="AL478" s="357"/>
      <c r="AM478" s="357"/>
      <c r="AN478" s="357"/>
      <c r="AO478" s="357"/>
      <c r="AP478" s="357"/>
      <c r="AQ478" s="357"/>
      <c r="AR478" s="357"/>
      <c r="AS478" s="357"/>
      <c r="AT478" s="357"/>
      <c r="AU478" s="357"/>
      <c r="AV478" s="357"/>
      <c r="AW478" s="357"/>
      <c r="AX478" s="357"/>
      <c r="AY478" s="357"/>
      <c r="AZ478" s="357"/>
      <c r="BA478" s="357"/>
      <c r="BB478" s="357"/>
      <c r="BC478" s="357"/>
      <c r="BD478" s="357"/>
    </row>
    <row r="479" spans="7:56">
      <c r="G479" s="357"/>
      <c r="H479" s="357"/>
      <c r="I479" s="357"/>
      <c r="J479" s="357"/>
      <c r="K479" s="357"/>
      <c r="L479" s="357"/>
      <c r="M479" s="357"/>
      <c r="N479" s="357"/>
      <c r="O479" s="357"/>
      <c r="P479" s="357"/>
      <c r="Q479" s="357"/>
      <c r="R479" s="357"/>
      <c r="S479" s="357"/>
      <c r="T479" s="357"/>
      <c r="U479" s="357"/>
      <c r="V479" s="357"/>
      <c r="W479" s="357"/>
      <c r="X479" s="357"/>
      <c r="Y479" s="357"/>
      <c r="Z479" s="357"/>
      <c r="AA479" s="357"/>
      <c r="AB479" s="357"/>
      <c r="AC479" s="357"/>
      <c r="AD479" s="357"/>
      <c r="AE479" s="357"/>
      <c r="AF479" s="357"/>
      <c r="AG479" s="357"/>
      <c r="AH479" s="357"/>
      <c r="AI479" s="357"/>
      <c r="AJ479" s="357"/>
      <c r="AK479" s="357"/>
      <c r="AL479" s="357"/>
      <c r="AM479" s="357"/>
      <c r="AN479" s="357"/>
      <c r="AO479" s="357"/>
      <c r="AP479" s="357"/>
      <c r="AQ479" s="357"/>
      <c r="AR479" s="357"/>
      <c r="AS479" s="357"/>
      <c r="AT479" s="357"/>
      <c r="AU479" s="357"/>
      <c r="AV479" s="357"/>
      <c r="AW479" s="357"/>
      <c r="AX479" s="357"/>
      <c r="AY479" s="357"/>
      <c r="AZ479" s="357"/>
      <c r="BA479" s="357"/>
      <c r="BB479" s="357"/>
      <c r="BC479" s="357"/>
      <c r="BD479" s="357"/>
    </row>
    <row r="480" spans="7:56">
      <c r="G480" s="357"/>
      <c r="H480" s="357"/>
      <c r="I480" s="357"/>
      <c r="J480" s="357"/>
      <c r="K480" s="357"/>
      <c r="L480" s="357"/>
      <c r="M480" s="357"/>
      <c r="N480" s="357"/>
      <c r="O480" s="357"/>
      <c r="P480" s="357"/>
      <c r="Q480" s="357"/>
      <c r="R480" s="357"/>
      <c r="S480" s="357"/>
      <c r="T480" s="357"/>
      <c r="U480" s="357"/>
      <c r="V480" s="357"/>
      <c r="W480" s="357"/>
      <c r="X480" s="357"/>
      <c r="Y480" s="357"/>
      <c r="Z480" s="357"/>
      <c r="AA480" s="357"/>
      <c r="AB480" s="357"/>
      <c r="AC480" s="357"/>
      <c r="AD480" s="357"/>
      <c r="AE480" s="357"/>
      <c r="AF480" s="357"/>
      <c r="AG480" s="357"/>
      <c r="AH480" s="357"/>
      <c r="AI480" s="357"/>
      <c r="AJ480" s="357"/>
      <c r="AK480" s="357"/>
      <c r="AL480" s="357"/>
      <c r="AM480" s="357"/>
      <c r="AN480" s="357"/>
      <c r="AO480" s="357"/>
      <c r="AP480" s="357"/>
      <c r="AQ480" s="357"/>
      <c r="AR480" s="357"/>
      <c r="AS480" s="357"/>
      <c r="AT480" s="357"/>
      <c r="AU480" s="357"/>
      <c r="AV480" s="357"/>
      <c r="AW480" s="357"/>
      <c r="AX480" s="357"/>
      <c r="AY480" s="357"/>
      <c r="AZ480" s="357"/>
      <c r="BA480" s="357"/>
      <c r="BB480" s="357"/>
      <c r="BC480" s="357"/>
      <c r="BD480" s="357"/>
    </row>
    <row r="481" spans="7:56">
      <c r="G481" s="357"/>
      <c r="H481" s="357"/>
      <c r="I481" s="357"/>
      <c r="J481" s="357"/>
      <c r="K481" s="357"/>
      <c r="L481" s="357"/>
      <c r="M481" s="357"/>
      <c r="N481" s="357"/>
      <c r="O481" s="357"/>
      <c r="P481" s="357"/>
      <c r="Q481" s="357"/>
      <c r="R481" s="357"/>
      <c r="S481" s="357"/>
      <c r="T481" s="357"/>
      <c r="U481" s="357"/>
      <c r="V481" s="357"/>
      <c r="W481" s="357"/>
      <c r="X481" s="357"/>
      <c r="Y481" s="357"/>
      <c r="Z481" s="357"/>
      <c r="AA481" s="357"/>
      <c r="AB481" s="357"/>
      <c r="AC481" s="357"/>
      <c r="AD481" s="357"/>
      <c r="AE481" s="357"/>
      <c r="AF481" s="357"/>
      <c r="AG481" s="357"/>
      <c r="AH481" s="357"/>
      <c r="AI481" s="357"/>
      <c r="AJ481" s="357"/>
      <c r="AK481" s="357"/>
      <c r="AL481" s="357"/>
      <c r="AM481" s="357"/>
      <c r="AN481" s="357"/>
      <c r="AO481" s="357"/>
      <c r="AP481" s="357"/>
      <c r="AQ481" s="357"/>
      <c r="AR481" s="357"/>
      <c r="AS481" s="357"/>
      <c r="AT481" s="357"/>
      <c r="AU481" s="357"/>
      <c r="AV481" s="357"/>
      <c r="AW481" s="357"/>
      <c r="AX481" s="357"/>
      <c r="AY481" s="357"/>
      <c r="AZ481" s="357"/>
      <c r="BA481" s="357"/>
      <c r="BB481" s="357"/>
      <c r="BC481" s="357"/>
      <c r="BD481" s="357"/>
    </row>
    <row r="482" spans="7:56">
      <c r="G482" s="357"/>
      <c r="H482" s="357"/>
      <c r="I482" s="357"/>
      <c r="J482" s="357"/>
      <c r="K482" s="357"/>
      <c r="L482" s="357"/>
      <c r="M482" s="357"/>
      <c r="N482" s="357"/>
      <c r="O482" s="357"/>
      <c r="P482" s="357"/>
      <c r="Q482" s="357"/>
      <c r="R482" s="357"/>
      <c r="S482" s="357"/>
      <c r="T482" s="357"/>
      <c r="U482" s="357"/>
      <c r="V482" s="357"/>
      <c r="W482" s="357"/>
      <c r="X482" s="357"/>
      <c r="Y482" s="357"/>
      <c r="Z482" s="357"/>
      <c r="AA482" s="357"/>
      <c r="AB482" s="357"/>
      <c r="AC482" s="357"/>
      <c r="AD482" s="357"/>
      <c r="AE482" s="357"/>
      <c r="AF482" s="357"/>
      <c r="AG482" s="357"/>
      <c r="AH482" s="357"/>
      <c r="AI482" s="357"/>
      <c r="AJ482" s="357"/>
      <c r="AK482" s="357"/>
      <c r="AL482" s="357"/>
      <c r="AM482" s="357"/>
      <c r="AN482" s="357"/>
      <c r="AO482" s="357"/>
      <c r="AP482" s="357"/>
      <c r="AQ482" s="357"/>
      <c r="AR482" s="357"/>
      <c r="AS482" s="357"/>
      <c r="AT482" s="357"/>
      <c r="AU482" s="357"/>
      <c r="AV482" s="357"/>
      <c r="AW482" s="357"/>
      <c r="AX482" s="357"/>
      <c r="AY482" s="357"/>
      <c r="AZ482" s="357"/>
      <c r="BA482" s="357"/>
      <c r="BB482" s="357"/>
      <c r="BC482" s="357"/>
      <c r="BD482" s="357"/>
    </row>
    <row r="483" spans="7:56">
      <c r="G483" s="357"/>
      <c r="H483" s="357"/>
      <c r="I483" s="357"/>
      <c r="J483" s="357"/>
      <c r="K483" s="357"/>
      <c r="L483" s="357"/>
      <c r="M483" s="357"/>
      <c r="N483" s="357"/>
      <c r="O483" s="357"/>
      <c r="P483" s="357"/>
      <c r="Q483" s="357"/>
      <c r="R483" s="357"/>
      <c r="S483" s="357"/>
      <c r="T483" s="357"/>
      <c r="U483" s="357"/>
      <c r="V483" s="357"/>
      <c r="W483" s="357"/>
      <c r="X483" s="357"/>
      <c r="Y483" s="357"/>
      <c r="Z483" s="357"/>
      <c r="AA483" s="357"/>
      <c r="AB483" s="357"/>
      <c r="AC483" s="357"/>
      <c r="AD483" s="357"/>
      <c r="AE483" s="357"/>
      <c r="AF483" s="357"/>
      <c r="AG483" s="357"/>
      <c r="AH483" s="357"/>
      <c r="AI483" s="357"/>
      <c r="AJ483" s="357"/>
      <c r="AK483" s="357"/>
      <c r="AL483" s="357"/>
      <c r="AM483" s="357"/>
      <c r="AN483" s="357"/>
      <c r="AO483" s="357"/>
      <c r="AP483" s="357"/>
      <c r="AQ483" s="357"/>
      <c r="AR483" s="357"/>
      <c r="AS483" s="357"/>
      <c r="AT483" s="357"/>
      <c r="AU483" s="357"/>
      <c r="AV483" s="357"/>
      <c r="AW483" s="357"/>
      <c r="AX483" s="357"/>
      <c r="AY483" s="357"/>
      <c r="AZ483" s="357"/>
      <c r="BA483" s="357"/>
      <c r="BB483" s="357"/>
      <c r="BC483" s="357"/>
      <c r="BD483" s="357"/>
    </row>
    <row r="484" spans="7:56">
      <c r="G484" s="357"/>
      <c r="H484" s="357"/>
      <c r="I484" s="357"/>
      <c r="J484" s="357"/>
      <c r="K484" s="357"/>
      <c r="L484" s="357"/>
      <c r="M484" s="357"/>
      <c r="N484" s="357"/>
      <c r="O484" s="357"/>
      <c r="P484" s="357"/>
      <c r="Q484" s="357"/>
      <c r="R484" s="357"/>
      <c r="S484" s="357"/>
      <c r="T484" s="357"/>
      <c r="U484" s="357"/>
      <c r="V484" s="357"/>
      <c r="W484" s="357"/>
      <c r="X484" s="357"/>
      <c r="Y484" s="357"/>
      <c r="Z484" s="357"/>
      <c r="AA484" s="357"/>
      <c r="AB484" s="357"/>
      <c r="AC484" s="357"/>
      <c r="AD484" s="357"/>
      <c r="AE484" s="357"/>
      <c r="AF484" s="357"/>
      <c r="AG484" s="357"/>
      <c r="AH484" s="357"/>
      <c r="AI484" s="357"/>
      <c r="AJ484" s="357"/>
      <c r="AK484" s="357"/>
      <c r="AL484" s="357"/>
      <c r="AM484" s="357"/>
      <c r="AN484" s="357"/>
      <c r="AO484" s="357"/>
      <c r="AP484" s="357"/>
      <c r="AQ484" s="357"/>
      <c r="AR484" s="357"/>
      <c r="AS484" s="357"/>
      <c r="AT484" s="357"/>
      <c r="AU484" s="357"/>
      <c r="AV484" s="357"/>
      <c r="AW484" s="357"/>
      <c r="AX484" s="357"/>
      <c r="AY484" s="357"/>
      <c r="AZ484" s="357"/>
      <c r="BA484" s="357"/>
      <c r="BB484" s="357"/>
      <c r="BC484" s="357"/>
      <c r="BD484" s="357"/>
    </row>
    <row r="485" spans="7:56">
      <c r="G485" s="357"/>
      <c r="H485" s="357"/>
      <c r="I485" s="357"/>
      <c r="J485" s="357"/>
      <c r="K485" s="357"/>
      <c r="L485" s="357"/>
      <c r="M485" s="357"/>
      <c r="N485" s="357"/>
      <c r="O485" s="357"/>
      <c r="P485" s="357"/>
      <c r="Q485" s="357"/>
      <c r="R485" s="357"/>
      <c r="S485" s="357"/>
      <c r="T485" s="357"/>
      <c r="U485" s="357"/>
      <c r="V485" s="357"/>
      <c r="W485" s="357"/>
      <c r="X485" s="357"/>
      <c r="Y485" s="357"/>
      <c r="Z485" s="357"/>
      <c r="AA485" s="357"/>
      <c r="AB485" s="357"/>
      <c r="AC485" s="357"/>
      <c r="AD485" s="357"/>
      <c r="AE485" s="357"/>
      <c r="AF485" s="357"/>
      <c r="AG485" s="357"/>
      <c r="AH485" s="357"/>
      <c r="AI485" s="357"/>
      <c r="AJ485" s="357"/>
      <c r="AK485" s="357"/>
      <c r="AL485" s="357"/>
      <c r="AM485" s="357"/>
      <c r="AN485" s="357"/>
      <c r="AO485" s="357"/>
      <c r="AP485" s="357"/>
      <c r="AQ485" s="357"/>
      <c r="AR485" s="357"/>
      <c r="AS485" s="357"/>
      <c r="AT485" s="357"/>
      <c r="AU485" s="357"/>
      <c r="AV485" s="357"/>
      <c r="AW485" s="357"/>
      <c r="AX485" s="357"/>
      <c r="AY485" s="357"/>
      <c r="AZ485" s="357"/>
      <c r="BA485" s="357"/>
      <c r="BB485" s="357"/>
      <c r="BC485" s="357"/>
      <c r="BD485" s="357"/>
    </row>
    <row r="486" spans="7:56">
      <c r="G486" s="357"/>
      <c r="H486" s="357"/>
      <c r="I486" s="357"/>
      <c r="J486" s="357"/>
      <c r="K486" s="357"/>
      <c r="L486" s="357"/>
      <c r="M486" s="357"/>
      <c r="N486" s="357"/>
      <c r="O486" s="357"/>
      <c r="P486" s="357"/>
      <c r="Q486" s="357"/>
      <c r="R486" s="357"/>
      <c r="S486" s="357"/>
      <c r="T486" s="357"/>
      <c r="U486" s="357"/>
      <c r="V486" s="357"/>
      <c r="W486" s="357"/>
      <c r="X486" s="357"/>
      <c r="Y486" s="357"/>
      <c r="Z486" s="357"/>
      <c r="AA486" s="357"/>
      <c r="AB486" s="357"/>
      <c r="AC486" s="357"/>
      <c r="AD486" s="357"/>
      <c r="AE486" s="357"/>
      <c r="AF486" s="357"/>
      <c r="AG486" s="357"/>
      <c r="AH486" s="357"/>
      <c r="AI486" s="357"/>
      <c r="AJ486" s="357"/>
      <c r="AK486" s="357"/>
      <c r="AL486" s="357"/>
      <c r="AM486" s="357"/>
      <c r="AN486" s="357"/>
      <c r="AO486" s="357"/>
      <c r="AP486" s="357"/>
      <c r="AQ486" s="357"/>
      <c r="AR486" s="357"/>
      <c r="AS486" s="357"/>
      <c r="AT486" s="357"/>
      <c r="AU486" s="357"/>
      <c r="AV486" s="357"/>
      <c r="AW486" s="357"/>
      <c r="AX486" s="357"/>
      <c r="AY486" s="357"/>
      <c r="AZ486" s="357"/>
      <c r="BA486" s="357"/>
      <c r="BB486" s="357"/>
      <c r="BC486" s="357"/>
      <c r="BD486" s="357"/>
    </row>
    <row r="487" spans="7:56">
      <c r="G487" s="357"/>
      <c r="H487" s="357"/>
      <c r="I487" s="357"/>
      <c r="J487" s="357"/>
      <c r="K487" s="357"/>
      <c r="L487" s="357"/>
      <c r="M487" s="357"/>
      <c r="N487" s="357"/>
      <c r="O487" s="357"/>
      <c r="P487" s="357"/>
      <c r="Q487" s="357"/>
      <c r="R487" s="357"/>
      <c r="S487" s="357"/>
      <c r="T487" s="357"/>
      <c r="U487" s="357"/>
      <c r="V487" s="357"/>
      <c r="W487" s="357"/>
      <c r="X487" s="357"/>
      <c r="Y487" s="357"/>
      <c r="Z487" s="357"/>
      <c r="AA487" s="357"/>
      <c r="AB487" s="357"/>
      <c r="AC487" s="357"/>
      <c r="AD487" s="357"/>
      <c r="AE487" s="357"/>
      <c r="AF487" s="357"/>
      <c r="AG487" s="357"/>
      <c r="AH487" s="357"/>
      <c r="AI487" s="357"/>
      <c r="AJ487" s="357"/>
      <c r="AK487" s="357"/>
      <c r="AL487" s="357"/>
      <c r="AM487" s="357"/>
      <c r="AN487" s="357"/>
      <c r="AO487" s="357"/>
      <c r="AP487" s="357"/>
      <c r="AQ487" s="357"/>
      <c r="AR487" s="357"/>
      <c r="AS487" s="357"/>
      <c r="AT487" s="357"/>
      <c r="AU487" s="357"/>
      <c r="AV487" s="357"/>
      <c r="AW487" s="357"/>
      <c r="AX487" s="357"/>
      <c r="AY487" s="357"/>
      <c r="AZ487" s="357"/>
      <c r="BA487" s="357"/>
      <c r="BB487" s="357"/>
      <c r="BC487" s="357"/>
      <c r="BD487" s="357"/>
    </row>
    <row r="488" spans="7:56">
      <c r="G488" s="357"/>
      <c r="H488" s="357"/>
      <c r="I488" s="357"/>
      <c r="J488" s="357"/>
      <c r="K488" s="357"/>
      <c r="L488" s="357"/>
      <c r="M488" s="357"/>
      <c r="N488" s="357"/>
      <c r="O488" s="357"/>
      <c r="P488" s="357"/>
      <c r="Q488" s="357"/>
      <c r="R488" s="357"/>
      <c r="S488" s="357"/>
      <c r="T488" s="357"/>
      <c r="U488" s="357"/>
      <c r="V488" s="357"/>
      <c r="W488" s="357"/>
      <c r="X488" s="357"/>
      <c r="Y488" s="357"/>
      <c r="Z488" s="357"/>
      <c r="AA488" s="357"/>
      <c r="AB488" s="357"/>
      <c r="AC488" s="357"/>
      <c r="AD488" s="357"/>
      <c r="AE488" s="357"/>
      <c r="AF488" s="357"/>
      <c r="AG488" s="357"/>
      <c r="AH488" s="357"/>
      <c r="AI488" s="357"/>
      <c r="AJ488" s="357"/>
      <c r="AK488" s="357"/>
      <c r="AL488" s="357"/>
      <c r="AM488" s="357"/>
      <c r="AN488" s="357"/>
      <c r="AO488" s="357"/>
      <c r="AP488" s="357"/>
      <c r="AQ488" s="357"/>
      <c r="AR488" s="357"/>
      <c r="AS488" s="357"/>
      <c r="AT488" s="357"/>
      <c r="AU488" s="357"/>
      <c r="AV488" s="357"/>
      <c r="AW488" s="357"/>
      <c r="AX488" s="357"/>
      <c r="AY488" s="357"/>
      <c r="AZ488" s="357"/>
      <c r="BA488" s="357"/>
      <c r="BB488" s="357"/>
      <c r="BC488" s="357"/>
      <c r="BD488" s="357"/>
    </row>
    <row r="489" spans="7:56">
      <c r="G489" s="357"/>
      <c r="H489" s="357"/>
      <c r="I489" s="357"/>
      <c r="J489" s="357"/>
      <c r="K489" s="357"/>
      <c r="L489" s="357"/>
      <c r="M489" s="357"/>
      <c r="N489" s="357"/>
      <c r="O489" s="357"/>
      <c r="P489" s="357"/>
      <c r="Q489" s="357"/>
      <c r="R489" s="357"/>
      <c r="S489" s="357"/>
      <c r="T489" s="357"/>
      <c r="U489" s="357"/>
      <c r="V489" s="357"/>
      <c r="W489" s="357"/>
      <c r="X489" s="357"/>
      <c r="Y489" s="357"/>
      <c r="Z489" s="357"/>
      <c r="AA489" s="357"/>
      <c r="AB489" s="357"/>
      <c r="AC489" s="357"/>
      <c r="AD489" s="357"/>
      <c r="AE489" s="357"/>
      <c r="AF489" s="357"/>
      <c r="AG489" s="357"/>
      <c r="AH489" s="357"/>
      <c r="AI489" s="357"/>
      <c r="AJ489" s="357"/>
      <c r="AK489" s="357"/>
      <c r="AL489" s="357"/>
      <c r="AM489" s="357"/>
      <c r="AN489" s="357"/>
      <c r="AO489" s="357"/>
      <c r="AP489" s="357"/>
      <c r="AQ489" s="357"/>
      <c r="AR489" s="357"/>
      <c r="AS489" s="357"/>
      <c r="AT489" s="357"/>
      <c r="AU489" s="357"/>
      <c r="AV489" s="357"/>
      <c r="AW489" s="357"/>
      <c r="AX489" s="357"/>
      <c r="AY489" s="357"/>
      <c r="AZ489" s="357"/>
      <c r="BA489" s="357"/>
      <c r="BB489" s="357"/>
      <c r="BC489" s="357"/>
      <c r="BD489" s="357"/>
    </row>
    <row r="490" spans="7:56">
      <c r="G490" s="357"/>
      <c r="H490" s="357"/>
      <c r="I490" s="357"/>
      <c r="J490" s="357"/>
      <c r="K490" s="357"/>
      <c r="L490" s="357"/>
      <c r="M490" s="357"/>
      <c r="N490" s="357"/>
      <c r="O490" s="357"/>
      <c r="P490" s="357"/>
      <c r="Q490" s="357"/>
      <c r="R490" s="357"/>
      <c r="S490" s="357"/>
      <c r="T490" s="357"/>
      <c r="U490" s="357"/>
      <c r="V490" s="357"/>
      <c r="W490" s="357"/>
      <c r="X490" s="357"/>
      <c r="Y490" s="357"/>
      <c r="Z490" s="357"/>
      <c r="AA490" s="357"/>
      <c r="AB490" s="357"/>
      <c r="AC490" s="357"/>
      <c r="AD490" s="357"/>
      <c r="AE490" s="357"/>
      <c r="AF490" s="357"/>
      <c r="AG490" s="357"/>
      <c r="AH490" s="357"/>
      <c r="AI490" s="357"/>
      <c r="AJ490" s="357"/>
      <c r="AK490" s="357"/>
      <c r="AL490" s="357"/>
      <c r="AM490" s="357"/>
      <c r="AN490" s="357"/>
      <c r="AO490" s="357"/>
      <c r="AP490" s="357"/>
      <c r="AQ490" s="357"/>
      <c r="AR490" s="357"/>
      <c r="AS490" s="357"/>
      <c r="AT490" s="357"/>
      <c r="AU490" s="357"/>
      <c r="AV490" s="357"/>
      <c r="AW490" s="357"/>
      <c r="AX490" s="357"/>
      <c r="AY490" s="357"/>
      <c r="AZ490" s="357"/>
      <c r="BA490" s="357"/>
      <c r="BB490" s="357"/>
      <c r="BC490" s="357"/>
      <c r="BD490" s="357"/>
    </row>
    <row r="491" spans="7:56">
      <c r="G491" s="357"/>
      <c r="H491" s="357"/>
      <c r="I491" s="357"/>
      <c r="J491" s="357"/>
      <c r="K491" s="357"/>
      <c r="L491" s="357"/>
      <c r="M491" s="357"/>
      <c r="N491" s="357"/>
      <c r="O491" s="357"/>
      <c r="P491" s="357"/>
      <c r="Q491" s="357"/>
      <c r="R491" s="357"/>
      <c r="S491" s="357"/>
      <c r="T491" s="357"/>
      <c r="U491" s="357"/>
      <c r="V491" s="357"/>
      <c r="W491" s="357"/>
      <c r="X491" s="357"/>
      <c r="Y491" s="357"/>
      <c r="Z491" s="357"/>
      <c r="AA491" s="357"/>
      <c r="AB491" s="357"/>
      <c r="AC491" s="357"/>
      <c r="AD491" s="357"/>
      <c r="AE491" s="357"/>
      <c r="AF491" s="357"/>
      <c r="AG491" s="357"/>
      <c r="AH491" s="357"/>
      <c r="AI491" s="357"/>
      <c r="AJ491" s="357"/>
      <c r="AK491" s="357"/>
      <c r="AL491" s="357"/>
      <c r="AM491" s="357"/>
      <c r="AN491" s="357"/>
      <c r="AO491" s="357"/>
      <c r="AP491" s="357"/>
      <c r="AQ491" s="357"/>
      <c r="AR491" s="357"/>
      <c r="AS491" s="357"/>
      <c r="AT491" s="357"/>
      <c r="AU491" s="357"/>
      <c r="AV491" s="357"/>
      <c r="AW491" s="357"/>
      <c r="AX491" s="357"/>
      <c r="AY491" s="357"/>
      <c r="AZ491" s="357"/>
      <c r="BA491" s="357"/>
      <c r="BB491" s="357"/>
      <c r="BC491" s="357"/>
      <c r="BD491" s="357"/>
    </row>
    <row r="492" spans="7:56">
      <c r="G492" s="357"/>
      <c r="H492" s="357"/>
      <c r="I492" s="357"/>
      <c r="J492" s="357"/>
      <c r="K492" s="357"/>
      <c r="L492" s="357"/>
      <c r="M492" s="357"/>
      <c r="N492" s="357"/>
      <c r="O492" s="357"/>
      <c r="P492" s="357"/>
      <c r="Q492" s="357"/>
      <c r="R492" s="357"/>
      <c r="S492" s="357"/>
      <c r="T492" s="357"/>
      <c r="U492" s="357"/>
      <c r="V492" s="357"/>
      <c r="W492" s="357"/>
      <c r="X492" s="357"/>
      <c r="Y492" s="357"/>
      <c r="Z492" s="357"/>
      <c r="AA492" s="357"/>
      <c r="AB492" s="357"/>
      <c r="AC492" s="357"/>
      <c r="AD492" s="357"/>
      <c r="AE492" s="357"/>
      <c r="AF492" s="357"/>
      <c r="AG492" s="357"/>
      <c r="AH492" s="357"/>
      <c r="AI492" s="357"/>
      <c r="AJ492" s="357"/>
      <c r="AK492" s="357"/>
      <c r="AL492" s="357"/>
      <c r="AM492" s="357"/>
      <c r="AN492" s="357"/>
      <c r="AO492" s="357"/>
      <c r="AP492" s="357"/>
      <c r="AQ492" s="357"/>
      <c r="AR492" s="357"/>
      <c r="AS492" s="357"/>
      <c r="AT492" s="357"/>
      <c r="AU492" s="357"/>
      <c r="AV492" s="357"/>
      <c r="AW492" s="357"/>
      <c r="AX492" s="357"/>
      <c r="AY492" s="357"/>
      <c r="AZ492" s="357"/>
      <c r="BA492" s="357"/>
      <c r="BB492" s="357"/>
      <c r="BC492" s="357"/>
      <c r="BD492" s="357"/>
    </row>
    <row r="493" spans="7:56">
      <c r="G493" s="357"/>
      <c r="H493" s="357"/>
      <c r="I493" s="357"/>
      <c r="J493" s="357"/>
      <c r="K493" s="357"/>
      <c r="L493" s="357"/>
      <c r="M493" s="357"/>
      <c r="N493" s="357"/>
      <c r="O493" s="357"/>
      <c r="P493" s="357"/>
      <c r="Q493" s="357"/>
      <c r="R493" s="357"/>
      <c r="S493" s="357"/>
      <c r="T493" s="357"/>
      <c r="U493" s="357"/>
      <c r="V493" s="357"/>
      <c r="W493" s="357"/>
      <c r="X493" s="357"/>
      <c r="Y493" s="357"/>
      <c r="Z493" s="357"/>
      <c r="AA493" s="357"/>
      <c r="AB493" s="357"/>
      <c r="AC493" s="357"/>
      <c r="AD493" s="357"/>
      <c r="AE493" s="357"/>
      <c r="AF493" s="357"/>
      <c r="AG493" s="357"/>
      <c r="AH493" s="357"/>
      <c r="AI493" s="357"/>
      <c r="AJ493" s="357"/>
      <c r="AK493" s="357"/>
      <c r="AL493" s="357"/>
      <c r="AM493" s="357"/>
      <c r="AN493" s="357"/>
      <c r="AO493" s="357"/>
      <c r="AP493" s="357"/>
      <c r="AQ493" s="357"/>
      <c r="AR493" s="357"/>
      <c r="AS493" s="357"/>
      <c r="AT493" s="357"/>
      <c r="AU493" s="357"/>
      <c r="AV493" s="357"/>
      <c r="AW493" s="357"/>
      <c r="AX493" s="357"/>
      <c r="AY493" s="357"/>
      <c r="AZ493" s="357"/>
      <c r="BA493" s="357"/>
      <c r="BB493" s="357"/>
      <c r="BC493" s="357"/>
      <c r="BD493" s="357"/>
    </row>
    <row r="494" spans="7:56">
      <c r="G494" s="357"/>
      <c r="H494" s="357"/>
      <c r="I494" s="357"/>
      <c r="J494" s="357"/>
      <c r="K494" s="357"/>
      <c r="L494" s="357"/>
      <c r="M494" s="357"/>
      <c r="N494" s="357"/>
      <c r="O494" s="357"/>
      <c r="P494" s="357"/>
      <c r="Q494" s="357"/>
      <c r="R494" s="357"/>
      <c r="S494" s="357"/>
      <c r="T494" s="357"/>
      <c r="U494" s="357"/>
      <c r="V494" s="357"/>
      <c r="W494" s="357"/>
      <c r="X494" s="357"/>
      <c r="Y494" s="357"/>
      <c r="Z494" s="357"/>
      <c r="AA494" s="357"/>
      <c r="AB494" s="357"/>
      <c r="AC494" s="357"/>
      <c r="AD494" s="357"/>
      <c r="AE494" s="357"/>
      <c r="AF494" s="357"/>
      <c r="AG494" s="357"/>
      <c r="AH494" s="357"/>
      <c r="AI494" s="357"/>
      <c r="AJ494" s="357"/>
      <c r="AK494" s="357"/>
      <c r="AL494" s="357"/>
      <c r="AM494" s="357"/>
      <c r="AN494" s="357"/>
      <c r="AO494" s="357"/>
      <c r="AP494" s="357"/>
      <c r="AQ494" s="357"/>
      <c r="AR494" s="357"/>
      <c r="AS494" s="357"/>
      <c r="AT494" s="357"/>
      <c r="AU494" s="357"/>
      <c r="AV494" s="357"/>
      <c r="AW494" s="357"/>
      <c r="AX494" s="357"/>
      <c r="AY494" s="357"/>
      <c r="AZ494" s="357"/>
      <c r="BA494" s="357"/>
      <c r="BB494" s="357"/>
      <c r="BC494" s="357"/>
      <c r="BD494" s="357"/>
    </row>
    <row r="495" spans="7:56">
      <c r="G495" s="357"/>
      <c r="H495" s="357"/>
      <c r="I495" s="357"/>
      <c r="J495" s="357"/>
      <c r="K495" s="357"/>
      <c r="L495" s="357"/>
      <c r="M495" s="357"/>
      <c r="N495" s="357"/>
      <c r="O495" s="357"/>
      <c r="P495" s="357"/>
      <c r="Q495" s="357"/>
      <c r="R495" s="357"/>
      <c r="S495" s="357"/>
      <c r="T495" s="357"/>
      <c r="U495" s="357"/>
      <c r="V495" s="357"/>
      <c r="W495" s="357"/>
      <c r="X495" s="357"/>
      <c r="Y495" s="357"/>
      <c r="Z495" s="357"/>
      <c r="AA495" s="357"/>
      <c r="AB495" s="357"/>
      <c r="AC495" s="357"/>
      <c r="AD495" s="357"/>
      <c r="AE495" s="357"/>
      <c r="AF495" s="357"/>
      <c r="AG495" s="357"/>
      <c r="AH495" s="357"/>
      <c r="AI495" s="357"/>
      <c r="AJ495" s="357"/>
      <c r="AK495" s="357"/>
      <c r="AL495" s="357"/>
      <c r="AM495" s="357"/>
      <c r="AN495" s="357"/>
      <c r="AO495" s="357"/>
      <c r="AP495" s="357"/>
      <c r="AQ495" s="357"/>
      <c r="AR495" s="357"/>
      <c r="AS495" s="357"/>
      <c r="AT495" s="357"/>
      <c r="AU495" s="357"/>
      <c r="AV495" s="357"/>
      <c r="AW495" s="357"/>
      <c r="AX495" s="357"/>
      <c r="AY495" s="357"/>
      <c r="AZ495" s="357"/>
      <c r="BA495" s="357"/>
      <c r="BB495" s="357"/>
      <c r="BC495" s="357"/>
      <c r="BD495" s="357"/>
    </row>
    <row r="496" spans="7:56">
      <c r="G496" s="357"/>
      <c r="H496" s="357"/>
      <c r="I496" s="357"/>
      <c r="J496" s="357"/>
      <c r="K496" s="357"/>
      <c r="L496" s="357"/>
      <c r="M496" s="357"/>
      <c r="N496" s="357"/>
      <c r="O496" s="357"/>
      <c r="P496" s="357"/>
      <c r="Q496" s="357"/>
      <c r="R496" s="357"/>
      <c r="S496" s="357"/>
      <c r="T496" s="357"/>
      <c r="U496" s="357"/>
      <c r="V496" s="357"/>
      <c r="W496" s="357"/>
      <c r="X496" s="357"/>
      <c r="Y496" s="357"/>
      <c r="Z496" s="357"/>
      <c r="AA496" s="357"/>
      <c r="AB496" s="357"/>
      <c r="AC496" s="357"/>
      <c r="AD496" s="357"/>
      <c r="AE496" s="357"/>
      <c r="AF496" s="357"/>
      <c r="AG496" s="357"/>
      <c r="AH496" s="357"/>
      <c r="AI496" s="357"/>
      <c r="AJ496" s="357"/>
      <c r="AK496" s="357"/>
      <c r="AL496" s="357"/>
      <c r="AM496" s="357"/>
      <c r="AN496" s="357"/>
      <c r="AO496" s="357"/>
      <c r="AP496" s="357"/>
      <c r="AQ496" s="357"/>
      <c r="AR496" s="357"/>
      <c r="AS496" s="357"/>
      <c r="AT496" s="357"/>
      <c r="AU496" s="357"/>
      <c r="AV496" s="357"/>
      <c r="AW496" s="357"/>
      <c r="AX496" s="357"/>
      <c r="AY496" s="357"/>
      <c r="AZ496" s="357"/>
      <c r="BA496" s="357"/>
      <c r="BB496" s="357"/>
      <c r="BC496" s="357"/>
      <c r="BD496" s="357"/>
    </row>
    <row r="497" spans="7:56">
      <c r="G497" s="357"/>
      <c r="H497" s="357"/>
      <c r="I497" s="357"/>
      <c r="J497" s="357"/>
      <c r="K497" s="357"/>
      <c r="L497" s="357"/>
      <c r="M497" s="357"/>
      <c r="N497" s="357"/>
      <c r="O497" s="357"/>
      <c r="P497" s="357"/>
      <c r="Q497" s="357"/>
      <c r="R497" s="357"/>
      <c r="S497" s="357"/>
      <c r="T497" s="357"/>
      <c r="U497" s="357"/>
      <c r="V497" s="357"/>
      <c r="W497" s="357"/>
      <c r="X497" s="357"/>
      <c r="Y497" s="357"/>
      <c r="Z497" s="357"/>
      <c r="AA497" s="357"/>
      <c r="AB497" s="357"/>
      <c r="AC497" s="357"/>
      <c r="AD497" s="357"/>
      <c r="AE497" s="357"/>
      <c r="AF497" s="357"/>
      <c r="AG497" s="357"/>
      <c r="AH497" s="357"/>
      <c r="AI497" s="357"/>
      <c r="AJ497" s="357"/>
      <c r="AK497" s="357"/>
      <c r="AL497" s="357"/>
      <c r="AM497" s="357"/>
      <c r="AN497" s="357"/>
      <c r="AO497" s="357"/>
      <c r="AP497" s="357"/>
      <c r="AQ497" s="357"/>
      <c r="AR497" s="357"/>
      <c r="AS497" s="357"/>
      <c r="AT497" s="357"/>
      <c r="AU497" s="357"/>
      <c r="AV497" s="357"/>
      <c r="AW497" s="357"/>
      <c r="AX497" s="357"/>
      <c r="AY497" s="357"/>
      <c r="AZ497" s="357"/>
      <c r="BA497" s="357"/>
      <c r="BB497" s="357"/>
      <c r="BC497" s="357"/>
      <c r="BD497" s="357"/>
    </row>
    <row r="498" spans="7:56">
      <c r="G498" s="357"/>
      <c r="H498" s="357"/>
      <c r="I498" s="357"/>
      <c r="J498" s="357"/>
      <c r="K498" s="357"/>
      <c r="L498" s="357"/>
      <c r="M498" s="357"/>
      <c r="N498" s="357"/>
      <c r="O498" s="357"/>
      <c r="P498" s="357"/>
      <c r="Q498" s="357"/>
      <c r="R498" s="357"/>
      <c r="S498" s="357"/>
      <c r="T498" s="357"/>
      <c r="U498" s="357"/>
      <c r="V498" s="357"/>
      <c r="W498" s="357"/>
      <c r="X498" s="357"/>
      <c r="Y498" s="357"/>
      <c r="Z498" s="357"/>
      <c r="AA498" s="357"/>
      <c r="AB498" s="357"/>
      <c r="AC498" s="357"/>
      <c r="AD498" s="357"/>
      <c r="AE498" s="357"/>
      <c r="AF498" s="357"/>
      <c r="AG498" s="357"/>
      <c r="AH498" s="357"/>
      <c r="AI498" s="357"/>
      <c r="AJ498" s="357"/>
      <c r="AK498" s="357"/>
      <c r="AL498" s="357"/>
      <c r="AM498" s="357"/>
      <c r="AN498" s="357"/>
      <c r="AO498" s="357"/>
      <c r="AP498" s="357"/>
      <c r="AQ498" s="357"/>
      <c r="AR498" s="357"/>
      <c r="AS498" s="357"/>
      <c r="AT498" s="357"/>
      <c r="AU498" s="357"/>
      <c r="AV498" s="357"/>
      <c r="AW498" s="357"/>
      <c r="AX498" s="357"/>
      <c r="AY498" s="357"/>
      <c r="AZ498" s="357"/>
      <c r="BA498" s="357"/>
      <c r="BB498" s="357"/>
      <c r="BC498" s="357"/>
      <c r="BD498" s="357"/>
    </row>
    <row r="499" spans="7:56">
      <c r="G499" s="357"/>
      <c r="H499" s="357"/>
      <c r="I499" s="357"/>
      <c r="J499" s="357"/>
      <c r="K499" s="357"/>
      <c r="L499" s="357"/>
      <c r="M499" s="357"/>
      <c r="N499" s="357"/>
      <c r="O499" s="357"/>
      <c r="P499" s="357"/>
      <c r="Q499" s="357"/>
      <c r="R499" s="357"/>
      <c r="S499" s="357"/>
      <c r="T499" s="357"/>
      <c r="U499" s="357"/>
      <c r="V499" s="357"/>
      <c r="W499" s="357"/>
      <c r="X499" s="357"/>
      <c r="Y499" s="357"/>
      <c r="Z499" s="357"/>
      <c r="AA499" s="357"/>
      <c r="AB499" s="357"/>
      <c r="AC499" s="357"/>
      <c r="AD499" s="357"/>
      <c r="AE499" s="357"/>
      <c r="AF499" s="357"/>
      <c r="AG499" s="357"/>
      <c r="AH499" s="357"/>
      <c r="AI499" s="357"/>
      <c r="AJ499" s="357"/>
      <c r="AK499" s="357"/>
      <c r="AL499" s="357"/>
      <c r="AM499" s="357"/>
      <c r="AN499" s="357"/>
      <c r="AO499" s="357"/>
      <c r="AP499" s="357"/>
      <c r="AQ499" s="357"/>
      <c r="AR499" s="357"/>
      <c r="AS499" s="357"/>
      <c r="AT499" s="357"/>
      <c r="AU499" s="357"/>
      <c r="AV499" s="357"/>
      <c r="AW499" s="357"/>
      <c r="AX499" s="357"/>
      <c r="AY499" s="357"/>
      <c r="AZ499" s="357"/>
      <c r="BA499" s="357"/>
      <c r="BB499" s="357"/>
      <c r="BC499" s="357"/>
      <c r="BD499" s="357"/>
    </row>
    <row r="500" spans="7:56">
      <c r="G500" s="357"/>
      <c r="H500" s="357"/>
      <c r="I500" s="357"/>
      <c r="J500" s="357"/>
      <c r="K500" s="357"/>
      <c r="L500" s="357"/>
      <c r="M500" s="357"/>
      <c r="N500" s="357"/>
      <c r="O500" s="357"/>
      <c r="P500" s="357"/>
      <c r="Q500" s="357"/>
      <c r="R500" s="357"/>
      <c r="S500" s="357"/>
      <c r="T500" s="357"/>
      <c r="U500" s="357"/>
      <c r="V500" s="357"/>
      <c r="W500" s="357"/>
      <c r="X500" s="357"/>
      <c r="Y500" s="357"/>
      <c r="Z500" s="357"/>
      <c r="AA500" s="357"/>
      <c r="AB500" s="357"/>
      <c r="AC500" s="357"/>
      <c r="AD500" s="357"/>
      <c r="AE500" s="357"/>
      <c r="AF500" s="357"/>
      <c r="AG500" s="357"/>
      <c r="AH500" s="357"/>
      <c r="AI500" s="357"/>
      <c r="AJ500" s="357"/>
      <c r="AK500" s="357"/>
      <c r="AL500" s="357"/>
      <c r="AM500" s="357"/>
      <c r="AN500" s="357"/>
      <c r="AO500" s="357"/>
      <c r="AP500" s="357"/>
      <c r="AQ500" s="357"/>
      <c r="AR500" s="357"/>
      <c r="AS500" s="357"/>
      <c r="AT500" s="357"/>
      <c r="AU500" s="357"/>
      <c r="AV500" s="357"/>
      <c r="AW500" s="357"/>
      <c r="AX500" s="357"/>
      <c r="AY500" s="357"/>
      <c r="AZ500" s="357"/>
      <c r="BA500" s="357"/>
      <c r="BB500" s="357"/>
      <c r="BC500" s="357"/>
      <c r="BD500" s="357"/>
    </row>
    <row r="501" spans="7:56">
      <c r="G501" s="357"/>
      <c r="H501" s="357"/>
      <c r="I501" s="357"/>
      <c r="J501" s="357"/>
      <c r="K501" s="357"/>
      <c r="L501" s="357"/>
      <c r="M501" s="357"/>
      <c r="N501" s="357"/>
      <c r="O501" s="357"/>
      <c r="P501" s="357"/>
      <c r="Q501" s="357"/>
      <c r="R501" s="357"/>
      <c r="S501" s="357"/>
      <c r="T501" s="357"/>
      <c r="U501" s="357"/>
      <c r="V501" s="357"/>
      <c r="W501" s="357"/>
      <c r="X501" s="357"/>
      <c r="Y501" s="357"/>
      <c r="Z501" s="357"/>
      <c r="AA501" s="357"/>
      <c r="AB501" s="357"/>
      <c r="AC501" s="357"/>
      <c r="AD501" s="357"/>
      <c r="AE501" s="357"/>
      <c r="AF501" s="357"/>
      <c r="AG501" s="357"/>
      <c r="AH501" s="357"/>
      <c r="AI501" s="357"/>
      <c r="AJ501" s="357"/>
      <c r="AK501" s="357"/>
      <c r="AL501" s="357"/>
      <c r="AM501" s="357"/>
      <c r="AN501" s="357"/>
      <c r="AO501" s="357"/>
      <c r="AP501" s="357"/>
      <c r="AQ501" s="357"/>
      <c r="AR501" s="357"/>
      <c r="AS501" s="357"/>
      <c r="AT501" s="357"/>
      <c r="AU501" s="357"/>
      <c r="AV501" s="357"/>
      <c r="AW501" s="357"/>
      <c r="AX501" s="357"/>
      <c r="AY501" s="357"/>
      <c r="AZ501" s="357"/>
      <c r="BA501" s="357"/>
      <c r="BB501" s="357"/>
      <c r="BC501" s="357"/>
      <c r="BD501" s="357"/>
    </row>
    <row r="502" spans="7:56">
      <c r="G502" s="357"/>
      <c r="H502" s="357"/>
      <c r="I502" s="357"/>
      <c r="J502" s="357"/>
      <c r="K502" s="357"/>
      <c r="L502" s="357"/>
      <c r="M502" s="357"/>
      <c r="N502" s="357"/>
      <c r="O502" s="357"/>
      <c r="P502" s="357"/>
      <c r="Q502" s="357"/>
      <c r="R502" s="357"/>
      <c r="S502" s="357"/>
      <c r="T502" s="357"/>
      <c r="U502" s="357"/>
      <c r="V502" s="357"/>
      <c r="W502" s="357"/>
      <c r="X502" s="357"/>
      <c r="Y502" s="357"/>
      <c r="Z502" s="357"/>
      <c r="AA502" s="357"/>
      <c r="AB502" s="357"/>
      <c r="AC502" s="357"/>
      <c r="AD502" s="357"/>
      <c r="AE502" s="357"/>
      <c r="AF502" s="357"/>
      <c r="AG502" s="357"/>
      <c r="AH502" s="357"/>
      <c r="AI502" s="357"/>
      <c r="AJ502" s="357"/>
      <c r="AK502" s="357"/>
      <c r="AL502" s="357"/>
      <c r="AM502" s="357"/>
      <c r="AN502" s="357"/>
      <c r="AO502" s="357"/>
      <c r="AP502" s="357"/>
      <c r="AQ502" s="357"/>
      <c r="AR502" s="357"/>
      <c r="AS502" s="357"/>
      <c r="AT502" s="357"/>
      <c r="AU502" s="357"/>
      <c r="AV502" s="357"/>
      <c r="AW502" s="357"/>
      <c r="AX502" s="357"/>
      <c r="AY502" s="357"/>
      <c r="AZ502" s="357"/>
      <c r="BA502" s="357"/>
      <c r="BB502" s="357"/>
      <c r="BC502" s="357"/>
      <c r="BD502" s="357"/>
    </row>
    <row r="503" spans="7:56">
      <c r="G503" s="357"/>
      <c r="H503" s="357"/>
      <c r="I503" s="357"/>
      <c r="J503" s="357"/>
      <c r="K503" s="357"/>
      <c r="L503" s="357"/>
      <c r="M503" s="357"/>
      <c r="N503" s="357"/>
      <c r="O503" s="357"/>
      <c r="P503" s="357"/>
      <c r="Q503" s="357"/>
      <c r="R503" s="357"/>
      <c r="S503" s="357"/>
      <c r="T503" s="357"/>
      <c r="U503" s="357"/>
      <c r="V503" s="357"/>
      <c r="W503" s="357"/>
      <c r="X503" s="357"/>
      <c r="Y503" s="357"/>
      <c r="Z503" s="357"/>
      <c r="AA503" s="357"/>
      <c r="AB503" s="357"/>
      <c r="AC503" s="357"/>
      <c r="AD503" s="357"/>
      <c r="AE503" s="357"/>
      <c r="AF503" s="357"/>
      <c r="AG503" s="357"/>
      <c r="AH503" s="357"/>
      <c r="AI503" s="357"/>
      <c r="AJ503" s="357"/>
      <c r="AK503" s="357"/>
      <c r="AL503" s="357"/>
      <c r="AM503" s="357"/>
      <c r="AN503" s="357"/>
      <c r="AO503" s="357"/>
      <c r="AP503" s="357"/>
      <c r="AQ503" s="357"/>
      <c r="AR503" s="357"/>
      <c r="AS503" s="357"/>
      <c r="AT503" s="357"/>
      <c r="AU503" s="357"/>
      <c r="AV503" s="357"/>
      <c r="AW503" s="357"/>
      <c r="AX503" s="357"/>
      <c r="AY503" s="357"/>
      <c r="AZ503" s="357"/>
      <c r="BA503" s="357"/>
      <c r="BB503" s="357"/>
      <c r="BC503" s="357"/>
      <c r="BD503" s="357"/>
    </row>
    <row r="504" spans="7:56">
      <c r="G504" s="357"/>
      <c r="H504" s="357"/>
      <c r="I504" s="357"/>
      <c r="J504" s="357"/>
      <c r="K504" s="357"/>
      <c r="L504" s="357"/>
      <c r="M504" s="357"/>
      <c r="N504" s="357"/>
      <c r="O504" s="357"/>
      <c r="P504" s="357"/>
      <c r="Q504" s="357"/>
      <c r="R504" s="357"/>
      <c r="S504" s="357"/>
      <c r="T504" s="357"/>
      <c r="U504" s="357"/>
      <c r="V504" s="357"/>
      <c r="W504" s="357"/>
      <c r="X504" s="357"/>
      <c r="Y504" s="357"/>
      <c r="Z504" s="357"/>
      <c r="AA504" s="357"/>
      <c r="AB504" s="357"/>
      <c r="AC504" s="357"/>
      <c r="AD504" s="357"/>
      <c r="AE504" s="357"/>
      <c r="AF504" s="357"/>
      <c r="AG504" s="357"/>
      <c r="AH504" s="357"/>
      <c r="AI504" s="357"/>
      <c r="AJ504" s="357"/>
      <c r="AK504" s="357"/>
      <c r="AL504" s="357"/>
      <c r="AM504" s="357"/>
      <c r="AN504" s="357"/>
      <c r="AO504" s="357"/>
      <c r="AP504" s="357"/>
      <c r="AQ504" s="357"/>
      <c r="AR504" s="357"/>
      <c r="AS504" s="357"/>
      <c r="AT504" s="357"/>
      <c r="AU504" s="357"/>
      <c r="AV504" s="357"/>
      <c r="AW504" s="357"/>
      <c r="AX504" s="357"/>
      <c r="AY504" s="357"/>
      <c r="AZ504" s="357"/>
      <c r="BA504" s="357"/>
      <c r="BB504" s="357"/>
      <c r="BC504" s="357"/>
      <c r="BD504" s="357"/>
    </row>
    <row r="505" spans="7:56">
      <c r="G505" s="357"/>
      <c r="H505" s="357"/>
      <c r="I505" s="357"/>
      <c r="J505" s="357"/>
      <c r="K505" s="357"/>
      <c r="L505" s="357"/>
      <c r="M505" s="357"/>
      <c r="N505" s="357"/>
      <c r="O505" s="357"/>
      <c r="P505" s="357"/>
      <c r="Q505" s="357"/>
      <c r="R505" s="357"/>
      <c r="S505" s="357"/>
      <c r="T505" s="357"/>
      <c r="U505" s="357"/>
      <c r="V505" s="357"/>
      <c r="W505" s="357"/>
      <c r="X505" s="357"/>
      <c r="Y505" s="357"/>
      <c r="Z505" s="357"/>
      <c r="AA505" s="357"/>
      <c r="AB505" s="357"/>
      <c r="AC505" s="357"/>
      <c r="AD505" s="357"/>
      <c r="AE505" s="357"/>
      <c r="AF505" s="357"/>
      <c r="AG505" s="357"/>
      <c r="AH505" s="357"/>
      <c r="AI505" s="357"/>
      <c r="AJ505" s="357"/>
      <c r="AK505" s="357"/>
      <c r="AL505" s="357"/>
      <c r="AM505" s="357"/>
      <c r="AN505" s="357"/>
      <c r="AO505" s="357"/>
      <c r="AP505" s="357"/>
      <c r="AQ505" s="357"/>
      <c r="AR505" s="357"/>
      <c r="AS505" s="357"/>
      <c r="AT505" s="357"/>
      <c r="AU505" s="357"/>
      <c r="AV505" s="357"/>
      <c r="AW505" s="357"/>
      <c r="AX505" s="357"/>
      <c r="AY505" s="357"/>
      <c r="AZ505" s="357"/>
      <c r="BA505" s="357"/>
      <c r="BB505" s="357"/>
      <c r="BC505" s="357"/>
      <c r="BD505" s="357"/>
    </row>
    <row r="506" spans="7:56">
      <c r="G506" s="357"/>
      <c r="H506" s="357"/>
      <c r="I506" s="357"/>
      <c r="J506" s="357"/>
      <c r="K506" s="357"/>
      <c r="L506" s="357"/>
      <c r="M506" s="357"/>
      <c r="N506" s="357"/>
      <c r="O506" s="357"/>
      <c r="P506" s="357"/>
      <c r="Q506" s="357"/>
      <c r="R506" s="357"/>
      <c r="S506" s="357"/>
      <c r="T506" s="357"/>
      <c r="U506" s="357"/>
      <c r="V506" s="357"/>
      <c r="W506" s="357"/>
      <c r="X506" s="357"/>
      <c r="Y506" s="357"/>
      <c r="Z506" s="357"/>
      <c r="AA506" s="357"/>
      <c r="AB506" s="357"/>
      <c r="AC506" s="357"/>
      <c r="AD506" s="357"/>
      <c r="AE506" s="357"/>
      <c r="AF506" s="357"/>
      <c r="AG506" s="357"/>
      <c r="AH506" s="357"/>
      <c r="AI506" s="357"/>
      <c r="AJ506" s="357"/>
      <c r="AK506" s="357"/>
      <c r="AL506" s="357"/>
      <c r="AM506" s="357"/>
      <c r="AN506" s="357"/>
      <c r="AO506" s="357"/>
      <c r="AP506" s="357"/>
      <c r="AQ506" s="357"/>
      <c r="AR506" s="357"/>
      <c r="AS506" s="357"/>
      <c r="AT506" s="357"/>
      <c r="AU506" s="357"/>
      <c r="AV506" s="357"/>
      <c r="AW506" s="357"/>
      <c r="AX506" s="357"/>
      <c r="AY506" s="357"/>
      <c r="AZ506" s="357"/>
      <c r="BA506" s="357"/>
      <c r="BB506" s="357"/>
      <c r="BC506" s="357"/>
      <c r="BD506" s="357"/>
    </row>
    <row r="507" spans="7:56">
      <c r="G507" s="357"/>
      <c r="H507" s="357"/>
      <c r="I507" s="357"/>
      <c r="J507" s="357"/>
      <c r="K507" s="357"/>
      <c r="L507" s="357"/>
      <c r="M507" s="357"/>
      <c r="N507" s="357"/>
      <c r="O507" s="357"/>
      <c r="P507" s="357"/>
      <c r="Q507" s="357"/>
      <c r="R507" s="357"/>
      <c r="S507" s="357"/>
      <c r="T507" s="357"/>
      <c r="U507" s="357"/>
      <c r="V507" s="357"/>
      <c r="W507" s="357"/>
      <c r="X507" s="357"/>
      <c r="Y507" s="357"/>
      <c r="Z507" s="357"/>
      <c r="AA507" s="357"/>
      <c r="AB507" s="357"/>
      <c r="AC507" s="357"/>
      <c r="AD507" s="357"/>
      <c r="AE507" s="357"/>
      <c r="AF507" s="357"/>
      <c r="AG507" s="357"/>
      <c r="AH507" s="357"/>
      <c r="AI507" s="357"/>
      <c r="AJ507" s="357"/>
      <c r="AK507" s="357"/>
      <c r="AL507" s="357"/>
      <c r="AM507" s="357"/>
      <c r="AN507" s="357"/>
      <c r="AO507" s="357"/>
      <c r="AP507" s="357"/>
      <c r="AQ507" s="357"/>
      <c r="AR507" s="357"/>
      <c r="AS507" s="357"/>
      <c r="AT507" s="357"/>
      <c r="AU507" s="357"/>
      <c r="AV507" s="357"/>
      <c r="AW507" s="357"/>
      <c r="AX507" s="357"/>
      <c r="AY507" s="357"/>
      <c r="AZ507" s="357"/>
      <c r="BA507" s="357"/>
      <c r="BB507" s="357"/>
      <c r="BC507" s="357"/>
      <c r="BD507" s="357"/>
    </row>
    <row r="508" spans="7:56">
      <c r="G508" s="357"/>
      <c r="H508" s="357"/>
      <c r="I508" s="357"/>
      <c r="J508" s="357"/>
      <c r="K508" s="357"/>
      <c r="L508" s="357"/>
      <c r="M508" s="357"/>
      <c r="N508" s="357"/>
      <c r="O508" s="357"/>
      <c r="P508" s="357"/>
      <c r="Q508" s="357"/>
      <c r="R508" s="357"/>
      <c r="S508" s="357"/>
      <c r="T508" s="357"/>
      <c r="U508" s="357"/>
      <c r="V508" s="357"/>
      <c r="W508" s="357"/>
      <c r="X508" s="357"/>
      <c r="Y508" s="357"/>
      <c r="Z508" s="357"/>
      <c r="AA508" s="357"/>
      <c r="AB508" s="357"/>
      <c r="AC508" s="357"/>
      <c r="AD508" s="357"/>
      <c r="AE508" s="357"/>
      <c r="AF508" s="357"/>
      <c r="AG508" s="357"/>
      <c r="AH508" s="357"/>
      <c r="AI508" s="357"/>
      <c r="AJ508" s="357"/>
      <c r="AK508" s="357"/>
      <c r="AL508" s="357"/>
      <c r="AM508" s="357"/>
      <c r="AN508" s="357"/>
      <c r="AO508" s="357"/>
      <c r="AP508" s="357"/>
      <c r="AQ508" s="357"/>
      <c r="AR508" s="357"/>
      <c r="AS508" s="357"/>
      <c r="AT508" s="357"/>
      <c r="AU508" s="357"/>
      <c r="AV508" s="357"/>
      <c r="AW508" s="357"/>
      <c r="AX508" s="357"/>
      <c r="AY508" s="357"/>
      <c r="AZ508" s="357"/>
      <c r="BA508" s="357"/>
      <c r="BB508" s="357"/>
      <c r="BC508" s="357"/>
      <c r="BD508" s="357"/>
    </row>
    <row r="509" spans="7:56">
      <c r="G509" s="357"/>
      <c r="H509" s="357"/>
      <c r="I509" s="357"/>
      <c r="J509" s="357"/>
      <c r="K509" s="357"/>
      <c r="L509" s="357"/>
      <c r="M509" s="357"/>
      <c r="N509" s="357"/>
      <c r="O509" s="357"/>
      <c r="P509" s="357"/>
      <c r="Q509" s="357"/>
      <c r="R509" s="357"/>
      <c r="S509" s="357"/>
      <c r="T509" s="357"/>
      <c r="U509" s="357"/>
      <c r="V509" s="357"/>
      <c r="W509" s="357"/>
      <c r="X509" s="357"/>
      <c r="Y509" s="357"/>
      <c r="Z509" s="357"/>
      <c r="AA509" s="357"/>
      <c r="AB509" s="357"/>
      <c r="AC509" s="357"/>
      <c r="AD509" s="357"/>
      <c r="AE509" s="357"/>
      <c r="AF509" s="357"/>
      <c r="AG509" s="357"/>
      <c r="AH509" s="357"/>
      <c r="AI509" s="357"/>
      <c r="AJ509" s="357"/>
      <c r="AK509" s="357"/>
      <c r="AL509" s="357"/>
      <c r="AM509" s="357"/>
      <c r="AN509" s="357"/>
      <c r="AO509" s="357"/>
      <c r="AP509" s="357"/>
      <c r="AQ509" s="357"/>
      <c r="AR509" s="357"/>
      <c r="AS509" s="357"/>
      <c r="AT509" s="357"/>
      <c r="AU509" s="357"/>
      <c r="AV509" s="357"/>
      <c r="AW509" s="357"/>
      <c r="AX509" s="357"/>
      <c r="AY509" s="357"/>
      <c r="AZ509" s="357"/>
      <c r="BA509" s="357"/>
      <c r="BB509" s="357"/>
      <c r="BC509" s="357"/>
      <c r="BD509" s="357"/>
    </row>
    <row r="510" spans="7:56">
      <c r="G510" s="357"/>
      <c r="H510" s="357"/>
      <c r="I510" s="357"/>
      <c r="J510" s="357"/>
      <c r="K510" s="357"/>
      <c r="L510" s="357"/>
      <c r="M510" s="357"/>
      <c r="N510" s="357"/>
      <c r="O510" s="357"/>
      <c r="P510" s="357"/>
      <c r="Q510" s="357"/>
      <c r="R510" s="357"/>
      <c r="S510" s="357"/>
      <c r="T510" s="357"/>
      <c r="U510" s="357"/>
      <c r="V510" s="357"/>
      <c r="W510" s="357"/>
      <c r="X510" s="357"/>
      <c r="Y510" s="357"/>
      <c r="Z510" s="357"/>
      <c r="AA510" s="357"/>
      <c r="AB510" s="357"/>
      <c r="AC510" s="357"/>
      <c r="AD510" s="357"/>
      <c r="AE510" s="357"/>
      <c r="AF510" s="357"/>
      <c r="AG510" s="357"/>
      <c r="AH510" s="357"/>
      <c r="AI510" s="357"/>
      <c r="AJ510" s="357"/>
      <c r="AK510" s="357"/>
      <c r="AL510" s="357"/>
      <c r="AM510" s="357"/>
      <c r="AN510" s="357"/>
      <c r="AO510" s="357"/>
      <c r="AP510" s="357"/>
      <c r="AQ510" s="357"/>
      <c r="AR510" s="357"/>
      <c r="AS510" s="357"/>
      <c r="AT510" s="357"/>
      <c r="AU510" s="357"/>
      <c r="AV510" s="357"/>
      <c r="AW510" s="357"/>
      <c r="AX510" s="357"/>
      <c r="AY510" s="357"/>
      <c r="AZ510" s="357"/>
      <c r="BA510" s="357"/>
      <c r="BB510" s="357"/>
      <c r="BC510" s="357"/>
      <c r="BD510" s="357"/>
    </row>
    <row r="511" spans="7:56">
      <c r="G511" s="357"/>
      <c r="H511" s="357"/>
      <c r="I511" s="357"/>
      <c r="J511" s="357"/>
      <c r="K511" s="357"/>
      <c r="L511" s="357"/>
      <c r="M511" s="357"/>
      <c r="N511" s="357"/>
      <c r="O511" s="357"/>
      <c r="P511" s="357"/>
      <c r="Q511" s="357"/>
      <c r="R511" s="357"/>
      <c r="S511" s="357"/>
      <c r="T511" s="357"/>
      <c r="U511" s="357"/>
      <c r="V511" s="357"/>
      <c r="W511" s="357"/>
      <c r="X511" s="357"/>
      <c r="Y511" s="357"/>
      <c r="Z511" s="357"/>
      <c r="AA511" s="357"/>
      <c r="AB511" s="357"/>
      <c r="AC511" s="357"/>
      <c r="AD511" s="357"/>
      <c r="AE511" s="357"/>
      <c r="AF511" s="357"/>
      <c r="AG511" s="357"/>
      <c r="AH511" s="357"/>
      <c r="AI511" s="357"/>
      <c r="AJ511" s="357"/>
      <c r="AK511" s="357"/>
      <c r="AL511" s="357"/>
      <c r="AM511" s="357"/>
      <c r="AN511" s="357"/>
      <c r="AO511" s="357"/>
      <c r="AP511" s="357"/>
      <c r="AQ511" s="357"/>
      <c r="AR511" s="357"/>
      <c r="AS511" s="357"/>
      <c r="AT511" s="357"/>
      <c r="AU511" s="357"/>
      <c r="AV511" s="357"/>
      <c r="AW511" s="357"/>
      <c r="AX511" s="357"/>
      <c r="AY511" s="357"/>
      <c r="AZ511" s="357"/>
      <c r="BA511" s="357"/>
      <c r="BB511" s="357"/>
      <c r="BC511" s="357"/>
      <c r="BD511" s="357"/>
    </row>
    <row r="512" spans="7:56">
      <c r="G512" s="357"/>
      <c r="H512" s="357"/>
      <c r="I512" s="357"/>
      <c r="J512" s="357"/>
      <c r="K512" s="357"/>
      <c r="L512" s="357"/>
      <c r="M512" s="357"/>
      <c r="N512" s="357"/>
      <c r="O512" s="357"/>
      <c r="P512" s="357"/>
      <c r="Q512" s="357"/>
      <c r="R512" s="357"/>
      <c r="S512" s="357"/>
      <c r="T512" s="357"/>
      <c r="U512" s="357"/>
      <c r="V512" s="357"/>
      <c r="W512" s="357"/>
      <c r="X512" s="357"/>
      <c r="Y512" s="357"/>
      <c r="Z512" s="357"/>
      <c r="AA512" s="357"/>
      <c r="AB512" s="357"/>
      <c r="AC512" s="357"/>
      <c r="AD512" s="357"/>
      <c r="AE512" s="357"/>
      <c r="AF512" s="357"/>
      <c r="AG512" s="357"/>
      <c r="AH512" s="357"/>
      <c r="AI512" s="357"/>
      <c r="AJ512" s="357"/>
      <c r="AK512" s="357"/>
      <c r="AL512" s="357"/>
      <c r="AM512" s="357"/>
      <c r="AN512" s="357"/>
      <c r="AO512" s="357"/>
      <c r="AP512" s="357"/>
      <c r="AQ512" s="357"/>
      <c r="AR512" s="357"/>
      <c r="AS512" s="357"/>
      <c r="AT512" s="357"/>
      <c r="AU512" s="357"/>
      <c r="AV512" s="357"/>
      <c r="AW512" s="357"/>
      <c r="AX512" s="357"/>
      <c r="AY512" s="357"/>
      <c r="AZ512" s="357"/>
      <c r="BA512" s="357"/>
      <c r="BB512" s="357"/>
      <c r="BC512" s="357"/>
      <c r="BD512" s="357"/>
    </row>
    <row r="513" spans="7:56">
      <c r="G513" s="357"/>
      <c r="H513" s="357"/>
      <c r="I513" s="357"/>
      <c r="J513" s="357"/>
      <c r="K513" s="357"/>
      <c r="L513" s="357"/>
      <c r="M513" s="357"/>
      <c r="N513" s="357"/>
      <c r="O513" s="357"/>
      <c r="P513" s="357"/>
      <c r="Q513" s="357"/>
      <c r="R513" s="357"/>
      <c r="S513" s="357"/>
      <c r="T513" s="357"/>
      <c r="U513" s="357"/>
      <c r="V513" s="357"/>
      <c r="W513" s="357"/>
      <c r="X513" s="357"/>
      <c r="Y513" s="357"/>
      <c r="Z513" s="357"/>
      <c r="AA513" s="357"/>
      <c r="AB513" s="357"/>
      <c r="AC513" s="357"/>
      <c r="AD513" s="357"/>
      <c r="AE513" s="357"/>
      <c r="AF513" s="357"/>
      <c r="AG513" s="357"/>
      <c r="AH513" s="357"/>
      <c r="AI513" s="357"/>
      <c r="AJ513" s="357"/>
      <c r="AK513" s="357"/>
      <c r="AL513" s="357"/>
      <c r="AM513" s="357"/>
      <c r="AN513" s="357"/>
      <c r="AO513" s="357"/>
      <c r="AP513" s="357"/>
      <c r="AQ513" s="357"/>
      <c r="AR513" s="357"/>
      <c r="AS513" s="357"/>
      <c r="AT513" s="357"/>
      <c r="AU513" s="357"/>
      <c r="AV513" s="357"/>
      <c r="AW513" s="357"/>
      <c r="AX513" s="357"/>
      <c r="AY513" s="357"/>
      <c r="AZ513" s="357"/>
      <c r="BA513" s="357"/>
      <c r="BB513" s="357"/>
      <c r="BC513" s="357"/>
      <c r="BD513" s="357"/>
    </row>
    <row r="514" spans="7:56">
      <c r="G514" s="357"/>
      <c r="H514" s="357"/>
      <c r="I514" s="357"/>
      <c r="J514" s="357"/>
      <c r="K514" s="357"/>
      <c r="L514" s="357"/>
      <c r="M514" s="357"/>
      <c r="N514" s="357"/>
      <c r="O514" s="357"/>
      <c r="P514" s="357"/>
      <c r="Q514" s="357"/>
      <c r="R514" s="357"/>
      <c r="S514" s="357"/>
      <c r="T514" s="357"/>
      <c r="U514" s="357"/>
      <c r="V514" s="357"/>
      <c r="W514" s="357"/>
      <c r="X514" s="357"/>
      <c r="Y514" s="357"/>
      <c r="Z514" s="357"/>
      <c r="AA514" s="357"/>
      <c r="AB514" s="357"/>
      <c r="AC514" s="357"/>
      <c r="AD514" s="357"/>
      <c r="AE514" s="357"/>
      <c r="AF514" s="357"/>
      <c r="AG514" s="357"/>
      <c r="AH514" s="357"/>
      <c r="AI514" s="357"/>
      <c r="AJ514" s="357"/>
      <c r="AK514" s="357"/>
      <c r="AL514" s="357"/>
      <c r="AM514" s="357"/>
      <c r="AN514" s="357"/>
      <c r="AO514" s="357"/>
      <c r="AP514" s="357"/>
      <c r="AQ514" s="357"/>
      <c r="AR514" s="357"/>
      <c r="AS514" s="357"/>
      <c r="AT514" s="357"/>
      <c r="AU514" s="357"/>
      <c r="AV514" s="357"/>
      <c r="AW514" s="357"/>
      <c r="AX514" s="357"/>
      <c r="AY514" s="357"/>
      <c r="AZ514" s="357"/>
      <c r="BA514" s="357"/>
      <c r="BB514" s="357"/>
      <c r="BC514" s="357"/>
      <c r="BD514" s="357"/>
    </row>
    <row r="515" spans="7:56">
      <c r="G515" s="357"/>
      <c r="H515" s="357"/>
      <c r="I515" s="357"/>
      <c r="J515" s="357"/>
      <c r="K515" s="357"/>
      <c r="L515" s="357"/>
      <c r="M515" s="357"/>
      <c r="N515" s="357"/>
      <c r="O515" s="357"/>
      <c r="P515" s="357"/>
      <c r="Q515" s="357"/>
      <c r="R515" s="357"/>
      <c r="S515" s="357"/>
      <c r="T515" s="357"/>
      <c r="U515" s="357"/>
      <c r="V515" s="357"/>
      <c r="W515" s="357"/>
      <c r="X515" s="357"/>
      <c r="Y515" s="357"/>
      <c r="Z515" s="357"/>
      <c r="AA515" s="357"/>
      <c r="AB515" s="357"/>
      <c r="AC515" s="357"/>
      <c r="AD515" s="357"/>
      <c r="AE515" s="357"/>
      <c r="AF515" s="357"/>
      <c r="AG515" s="357"/>
      <c r="AH515" s="357"/>
      <c r="AI515" s="357"/>
      <c r="AJ515" s="357"/>
      <c r="AK515" s="357"/>
      <c r="AL515" s="357"/>
      <c r="AM515" s="357"/>
      <c r="AN515" s="357"/>
      <c r="AO515" s="357"/>
      <c r="AP515" s="357"/>
      <c r="AQ515" s="357"/>
      <c r="AR515" s="357"/>
      <c r="AS515" s="357"/>
      <c r="AT515" s="357"/>
      <c r="AU515" s="357"/>
      <c r="AV515" s="357"/>
      <c r="AW515" s="357"/>
      <c r="AX515" s="357"/>
      <c r="AY515" s="357"/>
      <c r="AZ515" s="357"/>
      <c r="BA515" s="357"/>
      <c r="BB515" s="357"/>
      <c r="BC515" s="357"/>
      <c r="BD515" s="357"/>
    </row>
    <row r="516" spans="7:56">
      <c r="G516" s="357"/>
      <c r="H516" s="357"/>
      <c r="I516" s="357"/>
      <c r="J516" s="357"/>
      <c r="K516" s="357"/>
      <c r="L516" s="357"/>
      <c r="M516" s="357"/>
      <c r="N516" s="357"/>
      <c r="O516" s="357"/>
      <c r="P516" s="357"/>
      <c r="Q516" s="357"/>
      <c r="R516" s="357"/>
      <c r="S516" s="357"/>
      <c r="T516" s="357"/>
      <c r="U516" s="357"/>
      <c r="V516" s="357"/>
      <c r="W516" s="357"/>
      <c r="X516" s="357"/>
      <c r="Y516" s="357"/>
      <c r="Z516" s="357"/>
      <c r="AA516" s="357"/>
      <c r="AB516" s="357"/>
      <c r="AC516" s="357"/>
      <c r="AD516" s="357"/>
      <c r="AE516" s="357"/>
      <c r="AF516" s="357"/>
      <c r="AG516" s="357"/>
      <c r="AH516" s="357"/>
      <c r="AI516" s="357"/>
      <c r="AJ516" s="357"/>
      <c r="AK516" s="357"/>
      <c r="AL516" s="357"/>
      <c r="AM516" s="357"/>
      <c r="AN516" s="357"/>
      <c r="AO516" s="357"/>
      <c r="AP516" s="357"/>
      <c r="AQ516" s="357"/>
      <c r="AR516" s="357"/>
      <c r="AS516" s="357"/>
      <c r="AT516" s="357"/>
      <c r="AU516" s="357"/>
      <c r="AV516" s="357"/>
      <c r="AW516" s="357"/>
      <c r="AX516" s="357"/>
      <c r="AY516" s="357"/>
      <c r="AZ516" s="357"/>
      <c r="BA516" s="357"/>
      <c r="BB516" s="357"/>
      <c r="BC516" s="357"/>
      <c r="BD516" s="357"/>
    </row>
    <row r="517" spans="7:56">
      <c r="G517" s="357"/>
      <c r="H517" s="357"/>
      <c r="I517" s="357"/>
      <c r="J517" s="357"/>
      <c r="K517" s="357"/>
      <c r="L517" s="357"/>
      <c r="M517" s="357"/>
      <c r="N517" s="357"/>
      <c r="O517" s="357"/>
      <c r="P517" s="357"/>
      <c r="Q517" s="357"/>
      <c r="R517" s="357"/>
      <c r="S517" s="357"/>
      <c r="T517" s="357"/>
      <c r="U517" s="357"/>
      <c r="V517" s="357"/>
      <c r="W517" s="357"/>
      <c r="X517" s="357"/>
      <c r="Y517" s="357"/>
      <c r="Z517" s="357"/>
      <c r="AA517" s="357"/>
      <c r="AB517" s="357"/>
      <c r="AC517" s="357"/>
      <c r="AD517" s="357"/>
      <c r="AE517" s="357"/>
      <c r="AF517" s="357"/>
      <c r="AG517" s="357"/>
      <c r="AH517" s="357"/>
      <c r="AI517" s="357"/>
      <c r="AJ517" s="357"/>
      <c r="AK517" s="357"/>
      <c r="AL517" s="357"/>
      <c r="AM517" s="357"/>
      <c r="AN517" s="357"/>
      <c r="AO517" s="357"/>
      <c r="AP517" s="357"/>
      <c r="AQ517" s="357"/>
      <c r="AR517" s="357"/>
      <c r="AS517" s="357"/>
      <c r="AT517" s="357"/>
      <c r="AU517" s="357"/>
      <c r="AV517" s="357"/>
      <c r="AW517" s="357"/>
      <c r="AX517" s="357"/>
      <c r="AY517" s="357"/>
      <c r="AZ517" s="357"/>
      <c r="BA517" s="357"/>
      <c r="BB517" s="357"/>
      <c r="BC517" s="357"/>
      <c r="BD517" s="357"/>
    </row>
    <row r="518" spans="7:56">
      <c r="G518" s="357"/>
      <c r="H518" s="357"/>
      <c r="I518" s="357"/>
      <c r="J518" s="357"/>
      <c r="K518" s="357"/>
      <c r="L518" s="357"/>
      <c r="M518" s="357"/>
      <c r="N518" s="357"/>
      <c r="O518" s="357"/>
      <c r="P518" s="357"/>
      <c r="Q518" s="357"/>
      <c r="R518" s="357"/>
      <c r="S518" s="357"/>
      <c r="T518" s="357"/>
      <c r="U518" s="357"/>
      <c r="V518" s="357"/>
      <c r="W518" s="357"/>
      <c r="X518" s="357"/>
      <c r="Y518" s="357"/>
      <c r="Z518" s="357"/>
      <c r="AA518" s="357"/>
      <c r="AB518" s="357"/>
      <c r="AC518" s="357"/>
      <c r="AD518" s="357"/>
      <c r="AE518" s="357"/>
      <c r="AF518" s="357"/>
      <c r="AG518" s="357"/>
      <c r="AH518" s="357"/>
      <c r="AI518" s="357"/>
      <c r="AJ518" s="357"/>
      <c r="AK518" s="357"/>
      <c r="AL518" s="357"/>
      <c r="AM518" s="357"/>
      <c r="AN518" s="357"/>
      <c r="AO518" s="357"/>
      <c r="AP518" s="357"/>
      <c r="AQ518" s="357"/>
      <c r="AR518" s="357"/>
      <c r="AS518" s="357"/>
      <c r="AT518" s="357"/>
      <c r="AU518" s="357"/>
      <c r="AV518" s="357"/>
      <c r="AW518" s="357"/>
      <c r="AX518" s="357"/>
      <c r="AY518" s="357"/>
      <c r="AZ518" s="357"/>
      <c r="BA518" s="357"/>
      <c r="BB518" s="357"/>
      <c r="BC518" s="357"/>
      <c r="BD518" s="357"/>
    </row>
    <row r="519" spans="7:56">
      <c r="G519" s="357"/>
      <c r="H519" s="357"/>
      <c r="I519" s="357"/>
      <c r="J519" s="357"/>
      <c r="K519" s="357"/>
      <c r="L519" s="357"/>
      <c r="M519" s="357"/>
      <c r="N519" s="357"/>
      <c r="O519" s="357"/>
      <c r="P519" s="357"/>
      <c r="Q519" s="357"/>
      <c r="R519" s="357"/>
      <c r="S519" s="357"/>
      <c r="T519" s="357"/>
      <c r="U519" s="357"/>
      <c r="V519" s="357"/>
      <c r="W519" s="357"/>
      <c r="X519" s="357"/>
      <c r="Y519" s="357"/>
      <c r="Z519" s="357"/>
      <c r="AA519" s="357"/>
      <c r="AB519" s="357"/>
      <c r="AC519" s="357"/>
      <c r="AD519" s="357"/>
      <c r="AE519" s="357"/>
      <c r="AF519" s="357"/>
      <c r="AG519" s="357"/>
      <c r="AH519" s="357"/>
      <c r="AI519" s="357"/>
      <c r="AJ519" s="357"/>
      <c r="AK519" s="357"/>
      <c r="AL519" s="357"/>
      <c r="AM519" s="357"/>
      <c r="AN519" s="357"/>
      <c r="AO519" s="357"/>
      <c r="AP519" s="357"/>
      <c r="AQ519" s="357"/>
      <c r="AR519" s="357"/>
      <c r="AS519" s="357"/>
      <c r="AT519" s="357"/>
      <c r="AU519" s="357"/>
      <c r="AV519" s="357"/>
      <c r="AW519" s="357"/>
      <c r="AX519" s="357"/>
      <c r="AY519" s="357"/>
      <c r="AZ519" s="357"/>
      <c r="BA519" s="357"/>
      <c r="BB519" s="357"/>
      <c r="BC519" s="357"/>
      <c r="BD519" s="357"/>
    </row>
    <row r="520" spans="7:56">
      <c r="G520" s="357"/>
      <c r="H520" s="357"/>
      <c r="I520" s="357"/>
      <c r="J520" s="357"/>
      <c r="K520" s="357"/>
      <c r="L520" s="357"/>
      <c r="M520" s="357"/>
      <c r="N520" s="357"/>
      <c r="O520" s="357"/>
      <c r="P520" s="357"/>
      <c r="Q520" s="357"/>
      <c r="R520" s="357"/>
      <c r="S520" s="357"/>
      <c r="T520" s="357"/>
      <c r="U520" s="357"/>
      <c r="V520" s="357"/>
      <c r="W520" s="357"/>
      <c r="X520" s="357"/>
      <c r="Y520" s="357"/>
      <c r="Z520" s="357"/>
      <c r="AA520" s="357"/>
      <c r="AB520" s="357"/>
      <c r="AC520" s="357"/>
      <c r="AD520" s="357"/>
      <c r="AE520" s="357"/>
      <c r="AF520" s="357"/>
      <c r="AG520" s="357"/>
      <c r="AH520" s="357"/>
      <c r="AI520" s="357"/>
      <c r="AJ520" s="357"/>
      <c r="AK520" s="357"/>
      <c r="AL520" s="357"/>
      <c r="AM520" s="357"/>
      <c r="AN520" s="357"/>
      <c r="AO520" s="357"/>
      <c r="AP520" s="357"/>
      <c r="AQ520" s="357"/>
      <c r="AR520" s="357"/>
      <c r="AS520" s="357"/>
      <c r="AT520" s="357"/>
      <c r="AU520" s="357"/>
      <c r="AV520" s="357"/>
      <c r="AW520" s="357"/>
      <c r="AX520" s="357"/>
      <c r="AY520" s="357"/>
      <c r="AZ520" s="357"/>
      <c r="BA520" s="357"/>
      <c r="BB520" s="357"/>
      <c r="BC520" s="357"/>
      <c r="BD520" s="357"/>
    </row>
    <row r="521" spans="7:56">
      <c r="G521" s="357"/>
      <c r="H521" s="357"/>
      <c r="I521" s="357"/>
      <c r="J521" s="357"/>
      <c r="K521" s="357"/>
      <c r="L521" s="357"/>
      <c r="M521" s="357"/>
      <c r="N521" s="357"/>
      <c r="O521" s="357"/>
      <c r="P521" s="357"/>
      <c r="Q521" s="357"/>
      <c r="R521" s="357"/>
      <c r="S521" s="357"/>
      <c r="T521" s="357"/>
      <c r="U521" s="357"/>
      <c r="V521" s="357"/>
      <c r="W521" s="357"/>
      <c r="X521" s="357"/>
      <c r="Y521" s="357"/>
      <c r="Z521" s="357"/>
      <c r="AA521" s="357"/>
      <c r="AB521" s="357"/>
      <c r="AC521" s="357"/>
      <c r="AD521" s="357"/>
      <c r="AE521" s="357"/>
      <c r="AF521" s="357"/>
      <c r="AG521" s="357"/>
      <c r="AH521" s="357"/>
      <c r="AI521" s="357"/>
      <c r="AJ521" s="357"/>
      <c r="AK521" s="357"/>
      <c r="AL521" s="357"/>
      <c r="AM521" s="357"/>
      <c r="AN521" s="357"/>
      <c r="AO521" s="357"/>
      <c r="AP521" s="357"/>
      <c r="AQ521" s="357"/>
      <c r="AR521" s="357"/>
      <c r="AS521" s="357"/>
      <c r="AT521" s="357"/>
      <c r="AU521" s="357"/>
      <c r="AV521" s="357"/>
      <c r="AW521" s="357"/>
      <c r="AX521" s="357"/>
      <c r="AY521" s="357"/>
      <c r="AZ521" s="357"/>
      <c r="BA521" s="357"/>
      <c r="BB521" s="357"/>
      <c r="BC521" s="357"/>
      <c r="BD521" s="357"/>
    </row>
    <row r="522" spans="7:56">
      <c r="G522" s="357"/>
      <c r="H522" s="357"/>
      <c r="I522" s="357"/>
      <c r="J522" s="357"/>
      <c r="K522" s="357"/>
      <c r="L522" s="357"/>
      <c r="M522" s="357"/>
      <c r="N522" s="357"/>
      <c r="O522" s="357"/>
      <c r="P522" s="357"/>
      <c r="Q522" s="357"/>
      <c r="R522" s="357"/>
      <c r="S522" s="357"/>
      <c r="T522" s="357"/>
      <c r="U522" s="357"/>
      <c r="V522" s="357"/>
      <c r="W522" s="357"/>
      <c r="X522" s="357"/>
      <c r="Y522" s="357"/>
      <c r="Z522" s="357"/>
      <c r="AA522" s="357"/>
      <c r="AB522" s="357"/>
      <c r="AC522" s="357"/>
      <c r="AD522" s="357"/>
      <c r="AE522" s="357"/>
      <c r="AF522" s="357"/>
      <c r="AG522" s="357"/>
      <c r="AH522" s="357"/>
      <c r="AI522" s="357"/>
      <c r="AJ522" s="357"/>
      <c r="AK522" s="357"/>
      <c r="AL522" s="357"/>
      <c r="AM522" s="357"/>
      <c r="AN522" s="357"/>
      <c r="AO522" s="357"/>
      <c r="AP522" s="357"/>
      <c r="AQ522" s="357"/>
      <c r="AR522" s="357"/>
      <c r="AS522" s="357"/>
      <c r="AT522" s="357"/>
      <c r="AU522" s="357"/>
      <c r="AV522" s="357"/>
      <c r="AW522" s="357"/>
      <c r="AX522" s="357"/>
      <c r="AY522" s="357"/>
      <c r="AZ522" s="357"/>
      <c r="BA522" s="357"/>
      <c r="BB522" s="357"/>
      <c r="BC522" s="357"/>
      <c r="BD522" s="357"/>
    </row>
    <row r="523" spans="7:56">
      <c r="G523" s="357"/>
      <c r="H523" s="357"/>
      <c r="I523" s="357"/>
      <c r="J523" s="357"/>
      <c r="K523" s="357"/>
      <c r="L523" s="357"/>
      <c r="M523" s="357"/>
      <c r="N523" s="357"/>
      <c r="O523" s="357"/>
      <c r="P523" s="357"/>
      <c r="Q523" s="357"/>
      <c r="R523" s="357"/>
      <c r="S523" s="357"/>
      <c r="T523" s="357"/>
      <c r="U523" s="357"/>
      <c r="V523" s="357"/>
      <c r="W523" s="357"/>
      <c r="X523" s="357"/>
      <c r="Y523" s="357"/>
      <c r="Z523" s="357"/>
      <c r="AA523" s="357"/>
      <c r="AB523" s="357"/>
      <c r="AC523" s="357"/>
      <c r="AD523" s="357"/>
      <c r="AE523" s="357"/>
      <c r="AF523" s="357"/>
      <c r="AG523" s="357"/>
      <c r="AH523" s="357"/>
      <c r="AI523" s="357"/>
      <c r="AJ523" s="357"/>
      <c r="AK523" s="357"/>
      <c r="AL523" s="357"/>
      <c r="AM523" s="357"/>
      <c r="AN523" s="357"/>
      <c r="AO523" s="357"/>
      <c r="AP523" s="357"/>
      <c r="AQ523" s="357"/>
      <c r="AR523" s="357"/>
      <c r="AS523" s="357"/>
      <c r="AT523" s="357"/>
      <c r="AU523" s="357"/>
      <c r="AV523" s="357"/>
      <c r="AW523" s="357"/>
      <c r="AX523" s="357"/>
      <c r="AY523" s="357"/>
      <c r="AZ523" s="357"/>
      <c r="BA523" s="357"/>
      <c r="BB523" s="357"/>
      <c r="BC523" s="357"/>
      <c r="BD523" s="357"/>
    </row>
    <row r="524" spans="7:56">
      <c r="G524" s="357"/>
      <c r="H524" s="357"/>
      <c r="I524" s="357"/>
      <c r="J524" s="357"/>
      <c r="K524" s="357"/>
      <c r="L524" s="357"/>
      <c r="M524" s="357"/>
      <c r="N524" s="357"/>
      <c r="O524" s="357"/>
      <c r="P524" s="357"/>
      <c r="Q524" s="357"/>
      <c r="R524" s="357"/>
      <c r="S524" s="357"/>
      <c r="T524" s="357"/>
      <c r="U524" s="357"/>
      <c r="V524" s="357"/>
      <c r="W524" s="357"/>
      <c r="X524" s="357"/>
      <c r="Y524" s="357"/>
      <c r="Z524" s="357"/>
      <c r="AA524" s="357"/>
      <c r="AB524" s="357"/>
      <c r="AC524" s="357"/>
      <c r="AD524" s="357"/>
      <c r="AE524" s="357"/>
      <c r="AF524" s="357"/>
      <c r="AG524" s="357"/>
      <c r="AH524" s="357"/>
      <c r="AI524" s="357"/>
      <c r="AJ524" s="357"/>
      <c r="AK524" s="357"/>
      <c r="AL524" s="357"/>
      <c r="AM524" s="357"/>
      <c r="AN524" s="357"/>
      <c r="AO524" s="357"/>
      <c r="AP524" s="357"/>
      <c r="AQ524" s="357"/>
      <c r="AR524" s="357"/>
      <c r="AS524" s="357"/>
      <c r="AT524" s="357"/>
      <c r="AU524" s="357"/>
      <c r="AV524" s="357"/>
      <c r="AW524" s="357"/>
      <c r="AX524" s="357"/>
      <c r="AY524" s="357"/>
      <c r="AZ524" s="357"/>
      <c r="BA524" s="357"/>
      <c r="BB524" s="357"/>
      <c r="BC524" s="357"/>
      <c r="BD524" s="357"/>
    </row>
    <row r="525" spans="7:56">
      <c r="G525" s="357"/>
      <c r="H525" s="357"/>
      <c r="I525" s="357"/>
      <c r="J525" s="357"/>
      <c r="K525" s="357"/>
      <c r="L525" s="357"/>
      <c r="M525" s="357"/>
      <c r="N525" s="357"/>
      <c r="O525" s="357"/>
      <c r="P525" s="357"/>
      <c r="Q525" s="357"/>
      <c r="R525" s="357"/>
      <c r="S525" s="357"/>
      <c r="T525" s="357"/>
      <c r="U525" s="357"/>
      <c r="V525" s="357"/>
      <c r="W525" s="357"/>
      <c r="X525" s="357"/>
      <c r="Y525" s="357"/>
      <c r="Z525" s="357"/>
      <c r="AA525" s="357"/>
      <c r="AB525" s="357"/>
      <c r="AC525" s="357"/>
      <c r="AD525" s="357"/>
      <c r="AE525" s="357"/>
      <c r="AF525" s="357"/>
      <c r="AG525" s="357"/>
      <c r="AH525" s="357"/>
      <c r="AI525" s="357"/>
      <c r="AJ525" s="357"/>
      <c r="AK525" s="357"/>
      <c r="AL525" s="357"/>
      <c r="AM525" s="357"/>
      <c r="AN525" s="357"/>
      <c r="AO525" s="357"/>
      <c r="AP525" s="357"/>
      <c r="AQ525" s="357"/>
      <c r="AR525" s="357"/>
      <c r="AS525" s="357"/>
      <c r="AT525" s="357"/>
      <c r="AU525" s="357"/>
      <c r="AV525" s="357"/>
      <c r="AW525" s="357"/>
      <c r="AX525" s="357"/>
      <c r="AY525" s="357"/>
      <c r="AZ525" s="357"/>
      <c r="BA525" s="357"/>
      <c r="BB525" s="357"/>
      <c r="BC525" s="357"/>
      <c r="BD525" s="357"/>
    </row>
    <row r="526" spans="7:56">
      <c r="G526" s="357"/>
      <c r="H526" s="357"/>
      <c r="I526" s="357"/>
      <c r="J526" s="357"/>
      <c r="K526" s="357"/>
      <c r="L526" s="357"/>
      <c r="M526" s="357"/>
      <c r="N526" s="357"/>
      <c r="O526" s="357"/>
      <c r="P526" s="357"/>
      <c r="Q526" s="357"/>
      <c r="R526" s="357"/>
      <c r="S526" s="357"/>
      <c r="T526" s="357"/>
      <c r="U526" s="357"/>
      <c r="V526" s="357"/>
      <c r="W526" s="357"/>
      <c r="X526" s="357"/>
      <c r="Y526" s="357"/>
      <c r="Z526" s="357"/>
      <c r="AA526" s="357"/>
      <c r="AB526" s="357"/>
      <c r="AC526" s="357"/>
      <c r="AD526" s="357"/>
      <c r="AE526" s="357"/>
      <c r="AF526" s="357"/>
      <c r="AG526" s="357"/>
      <c r="AH526" s="357"/>
      <c r="AI526" s="357"/>
      <c r="AJ526" s="357"/>
      <c r="AK526" s="357"/>
      <c r="AL526" s="357"/>
      <c r="AM526" s="357"/>
      <c r="AN526" s="357"/>
      <c r="AO526" s="357"/>
      <c r="AP526" s="357"/>
      <c r="AQ526" s="357"/>
      <c r="AR526" s="357"/>
      <c r="AS526" s="357"/>
      <c r="AT526" s="357"/>
      <c r="AU526" s="357"/>
      <c r="AV526" s="357"/>
      <c r="AW526" s="357"/>
      <c r="AX526" s="357"/>
      <c r="AY526" s="357"/>
      <c r="AZ526" s="357"/>
      <c r="BA526" s="357"/>
      <c r="BB526" s="357"/>
      <c r="BC526" s="357"/>
      <c r="BD526" s="357"/>
    </row>
    <row r="527" spans="7:56">
      <c r="G527" s="357"/>
      <c r="H527" s="357"/>
      <c r="I527" s="357"/>
      <c r="J527" s="357"/>
      <c r="K527" s="357"/>
      <c r="L527" s="357"/>
      <c r="M527" s="357"/>
      <c r="N527" s="357"/>
      <c r="O527" s="357"/>
      <c r="P527" s="357"/>
      <c r="Q527" s="357"/>
      <c r="R527" s="357"/>
      <c r="S527" s="357"/>
      <c r="T527" s="357"/>
      <c r="U527" s="357"/>
      <c r="V527" s="357"/>
      <c r="W527" s="357"/>
      <c r="X527" s="357"/>
      <c r="Y527" s="357"/>
      <c r="Z527" s="357"/>
      <c r="AA527" s="357"/>
      <c r="AB527" s="357"/>
      <c r="AC527" s="357"/>
      <c r="AD527" s="357"/>
      <c r="AE527" s="357"/>
      <c r="AF527" s="357"/>
      <c r="AG527" s="357"/>
      <c r="AH527" s="357"/>
      <c r="AI527" s="357"/>
      <c r="AJ527" s="357"/>
      <c r="AK527" s="357"/>
      <c r="AL527" s="357"/>
      <c r="AM527" s="357"/>
      <c r="AN527" s="357"/>
      <c r="AO527" s="357"/>
      <c r="AP527" s="357"/>
      <c r="AQ527" s="357"/>
      <c r="AR527" s="357"/>
      <c r="AS527" s="357"/>
      <c r="AT527" s="357"/>
      <c r="AU527" s="357"/>
      <c r="AV527" s="357"/>
      <c r="AW527" s="357"/>
      <c r="AX527" s="357"/>
      <c r="AY527" s="357"/>
      <c r="AZ527" s="357"/>
      <c r="BA527" s="357"/>
      <c r="BB527" s="357"/>
      <c r="BC527" s="357"/>
      <c r="BD527" s="357"/>
    </row>
    <row r="528" spans="7:56">
      <c r="G528" s="357"/>
      <c r="H528" s="357"/>
      <c r="I528" s="357"/>
      <c r="J528" s="357"/>
      <c r="K528" s="357"/>
      <c r="L528" s="357"/>
      <c r="M528" s="357"/>
      <c r="N528" s="357"/>
      <c r="O528" s="357"/>
      <c r="P528" s="357"/>
      <c r="Q528" s="357"/>
      <c r="R528" s="357"/>
      <c r="S528" s="357"/>
      <c r="T528" s="357"/>
      <c r="U528" s="357"/>
      <c r="V528" s="357"/>
      <c r="W528" s="357"/>
      <c r="X528" s="357"/>
      <c r="Y528" s="357"/>
      <c r="Z528" s="357"/>
      <c r="AA528" s="357"/>
      <c r="AB528" s="357"/>
      <c r="AC528" s="357"/>
      <c r="AD528" s="357"/>
      <c r="AE528" s="357"/>
      <c r="AF528" s="357"/>
      <c r="AG528" s="357"/>
      <c r="AH528" s="357"/>
      <c r="AI528" s="357"/>
      <c r="AJ528" s="357"/>
      <c r="AK528" s="357"/>
      <c r="AL528" s="357"/>
      <c r="AM528" s="357"/>
      <c r="AN528" s="357"/>
      <c r="AO528" s="357"/>
      <c r="AP528" s="357"/>
      <c r="AQ528" s="357"/>
      <c r="AR528" s="357"/>
      <c r="AS528" s="357"/>
      <c r="AT528" s="357"/>
      <c r="AU528" s="357"/>
      <c r="AV528" s="357"/>
      <c r="AW528" s="357"/>
      <c r="AX528" s="357"/>
      <c r="AY528" s="357"/>
      <c r="AZ528" s="357"/>
      <c r="BA528" s="357"/>
      <c r="BB528" s="357"/>
      <c r="BC528" s="357"/>
      <c r="BD528" s="357"/>
    </row>
    <row r="529" spans="7:56">
      <c r="G529" s="357"/>
      <c r="H529" s="357"/>
      <c r="I529" s="357"/>
      <c r="J529" s="357"/>
      <c r="K529" s="357"/>
      <c r="L529" s="357"/>
      <c r="M529" s="357"/>
      <c r="N529" s="357"/>
      <c r="O529" s="357"/>
      <c r="P529" s="357"/>
      <c r="Q529" s="357"/>
      <c r="R529" s="357"/>
      <c r="S529" s="357"/>
      <c r="T529" s="357"/>
      <c r="U529" s="357"/>
      <c r="V529" s="357"/>
      <c r="W529" s="357"/>
      <c r="X529" s="357"/>
      <c r="Y529" s="357"/>
      <c r="Z529" s="357"/>
      <c r="AA529" s="357"/>
      <c r="AB529" s="357"/>
      <c r="AC529" s="357"/>
      <c r="AD529" s="357"/>
      <c r="AE529" s="357"/>
      <c r="AF529" s="357"/>
      <c r="AG529" s="357"/>
      <c r="AH529" s="357"/>
      <c r="AI529" s="357"/>
      <c r="AJ529" s="357"/>
      <c r="AK529" s="357"/>
      <c r="AL529" s="357"/>
      <c r="AM529" s="357"/>
      <c r="AN529" s="357"/>
      <c r="AO529" s="357"/>
      <c r="AP529" s="357"/>
      <c r="AQ529" s="357"/>
      <c r="AR529" s="357"/>
      <c r="AS529" s="357"/>
      <c r="AT529" s="357"/>
      <c r="AU529" s="357"/>
      <c r="AV529" s="357"/>
      <c r="AW529" s="357"/>
      <c r="AX529" s="357"/>
      <c r="AY529" s="357"/>
      <c r="AZ529" s="357"/>
      <c r="BA529" s="357"/>
      <c r="BB529" s="357"/>
      <c r="BC529" s="357"/>
      <c r="BD529" s="357"/>
    </row>
    <row r="530" spans="7:56">
      <c r="G530" s="357"/>
      <c r="H530" s="357"/>
      <c r="I530" s="357"/>
      <c r="J530" s="357"/>
      <c r="K530" s="357"/>
      <c r="L530" s="357"/>
      <c r="M530" s="357"/>
      <c r="N530" s="357"/>
      <c r="O530" s="357"/>
      <c r="P530" s="357"/>
      <c r="Q530" s="357"/>
      <c r="R530" s="357"/>
      <c r="S530" s="357"/>
      <c r="T530" s="357"/>
      <c r="U530" s="357"/>
      <c r="V530" s="357"/>
      <c r="W530" s="357"/>
      <c r="X530" s="357"/>
      <c r="Y530" s="357"/>
      <c r="Z530" s="357"/>
      <c r="AA530" s="357"/>
      <c r="AB530" s="357"/>
      <c r="AC530" s="357"/>
      <c r="AD530" s="357"/>
      <c r="AE530" s="357"/>
      <c r="AF530" s="357"/>
      <c r="AG530" s="357"/>
      <c r="AH530" s="357"/>
      <c r="AI530" s="357"/>
      <c r="AJ530" s="357"/>
      <c r="AK530" s="357"/>
      <c r="AL530" s="357"/>
      <c r="AM530" s="357"/>
      <c r="AN530" s="357"/>
      <c r="AO530" s="357"/>
      <c r="AP530" s="357"/>
      <c r="AQ530" s="357"/>
      <c r="AR530" s="357"/>
      <c r="AS530" s="357"/>
      <c r="AT530" s="357"/>
      <c r="AU530" s="357"/>
      <c r="AV530" s="357"/>
      <c r="AW530" s="357"/>
      <c r="AX530" s="357"/>
      <c r="AY530" s="357"/>
      <c r="AZ530" s="357"/>
      <c r="BA530" s="357"/>
      <c r="BB530" s="357"/>
      <c r="BC530" s="357"/>
      <c r="BD530" s="357"/>
    </row>
    <row r="531" spans="7:56">
      <c r="G531" s="357"/>
      <c r="H531" s="357"/>
      <c r="I531" s="357"/>
      <c r="J531" s="357"/>
      <c r="K531" s="357"/>
      <c r="L531" s="357"/>
      <c r="M531" s="357"/>
      <c r="N531" s="357"/>
      <c r="O531" s="357"/>
      <c r="P531" s="357"/>
      <c r="Q531" s="357"/>
      <c r="R531" s="357"/>
      <c r="S531" s="357"/>
      <c r="T531" s="357"/>
      <c r="U531" s="357"/>
      <c r="V531" s="357"/>
      <c r="W531" s="357"/>
      <c r="X531" s="357"/>
      <c r="Y531" s="357"/>
      <c r="Z531" s="357"/>
      <c r="AA531" s="357"/>
      <c r="AB531" s="357"/>
      <c r="AC531" s="357"/>
      <c r="AD531" s="357"/>
      <c r="AE531" s="357"/>
      <c r="AF531" s="357"/>
      <c r="AG531" s="357"/>
      <c r="AH531" s="357"/>
      <c r="AI531" s="357"/>
      <c r="AJ531" s="357"/>
      <c r="AK531" s="357"/>
      <c r="AL531" s="357"/>
      <c r="AM531" s="357"/>
      <c r="AN531" s="357"/>
      <c r="AO531" s="357"/>
      <c r="AP531" s="357"/>
      <c r="AQ531" s="357"/>
      <c r="AR531" s="357"/>
      <c r="AS531" s="357"/>
      <c r="AT531" s="357"/>
      <c r="AU531" s="357"/>
      <c r="AV531" s="357"/>
      <c r="AW531" s="357"/>
      <c r="AX531" s="357"/>
      <c r="AY531" s="357"/>
      <c r="AZ531" s="357"/>
      <c r="BA531" s="357"/>
      <c r="BB531" s="357"/>
      <c r="BC531" s="357"/>
      <c r="BD531" s="357"/>
    </row>
    <row r="532" spans="7:56">
      <c r="G532" s="357"/>
      <c r="H532" s="357"/>
      <c r="I532" s="357"/>
      <c r="J532" s="357"/>
      <c r="K532" s="357"/>
      <c r="L532" s="357"/>
      <c r="M532" s="357"/>
      <c r="N532" s="357"/>
      <c r="O532" s="357"/>
      <c r="P532" s="357"/>
      <c r="Q532" s="357"/>
      <c r="R532" s="357"/>
      <c r="S532" s="357"/>
      <c r="T532" s="357"/>
      <c r="U532" s="357"/>
      <c r="V532" s="357"/>
      <c r="W532" s="357"/>
      <c r="X532" s="357"/>
      <c r="Y532" s="357"/>
      <c r="Z532" s="357"/>
      <c r="AA532" s="357"/>
      <c r="AB532" s="357"/>
      <c r="AC532" s="357"/>
      <c r="AD532" s="357"/>
      <c r="AE532" s="357"/>
      <c r="AF532" s="357"/>
      <c r="AG532" s="357"/>
      <c r="AH532" s="357"/>
      <c r="AI532" s="357"/>
      <c r="AJ532" s="357"/>
      <c r="AK532" s="357"/>
      <c r="AL532" s="357"/>
      <c r="AM532" s="357"/>
      <c r="AN532" s="357"/>
      <c r="AO532" s="357"/>
      <c r="AP532" s="357"/>
      <c r="AQ532" s="357"/>
      <c r="AR532" s="357"/>
      <c r="AS532" s="357"/>
      <c r="AT532" s="357"/>
      <c r="AU532" s="357"/>
      <c r="AV532" s="357"/>
      <c r="AW532" s="357"/>
      <c r="AX532" s="357"/>
      <c r="AY532" s="357"/>
      <c r="AZ532" s="357"/>
      <c r="BA532" s="357"/>
      <c r="BB532" s="357"/>
      <c r="BC532" s="357"/>
      <c r="BD532" s="357"/>
    </row>
    <row r="533" spans="7:56">
      <c r="G533" s="357"/>
      <c r="H533" s="357"/>
      <c r="I533" s="357"/>
      <c r="J533" s="357"/>
      <c r="K533" s="357"/>
      <c r="L533" s="357"/>
      <c r="M533" s="357"/>
      <c r="N533" s="357"/>
      <c r="O533" s="357"/>
      <c r="P533" s="357"/>
      <c r="Q533" s="357"/>
      <c r="R533" s="357"/>
      <c r="S533" s="357"/>
      <c r="T533" s="357"/>
      <c r="U533" s="357"/>
      <c r="V533" s="357"/>
      <c r="W533" s="357"/>
      <c r="X533" s="357"/>
      <c r="Y533" s="357"/>
      <c r="Z533" s="357"/>
      <c r="AA533" s="357"/>
      <c r="AB533" s="357"/>
      <c r="AC533" s="357"/>
      <c r="AD533" s="357"/>
      <c r="AE533" s="357"/>
      <c r="AF533" s="357"/>
      <c r="AG533" s="357"/>
      <c r="AH533" s="357"/>
      <c r="AI533" s="357"/>
      <c r="AJ533" s="357"/>
      <c r="AK533" s="357"/>
      <c r="AL533" s="357"/>
      <c r="AM533" s="357"/>
      <c r="AN533" s="357"/>
      <c r="AO533" s="357"/>
      <c r="AP533" s="357"/>
      <c r="AQ533" s="357"/>
      <c r="AR533" s="357"/>
      <c r="AS533" s="357"/>
      <c r="AT533" s="357"/>
      <c r="AU533" s="357"/>
      <c r="AV533" s="357"/>
      <c r="AW533" s="357"/>
      <c r="AX533" s="357"/>
      <c r="AY533" s="357"/>
      <c r="AZ533" s="357"/>
      <c r="BA533" s="357"/>
      <c r="BB533" s="357"/>
      <c r="BC533" s="357"/>
      <c r="BD533" s="357"/>
    </row>
    <row r="534" spans="7:56">
      <c r="G534" s="357"/>
      <c r="H534" s="357"/>
      <c r="I534" s="357"/>
      <c r="J534" s="357"/>
      <c r="K534" s="357"/>
      <c r="L534" s="357"/>
      <c r="M534" s="357"/>
      <c r="N534" s="357"/>
      <c r="O534" s="357"/>
      <c r="P534" s="357"/>
      <c r="Q534" s="357"/>
      <c r="R534" s="357"/>
      <c r="S534" s="357"/>
      <c r="T534" s="357"/>
      <c r="U534" s="357"/>
      <c r="V534" s="357"/>
      <c r="W534" s="357"/>
      <c r="X534" s="357"/>
      <c r="Y534" s="357"/>
      <c r="Z534" s="357"/>
      <c r="AA534" s="357"/>
      <c r="AB534" s="357"/>
      <c r="AC534" s="357"/>
      <c r="AD534" s="357"/>
      <c r="AE534" s="357"/>
      <c r="AF534" s="357"/>
      <c r="AG534" s="357"/>
      <c r="AH534" s="357"/>
      <c r="AI534" s="357"/>
      <c r="AJ534" s="357"/>
      <c r="AK534" s="357"/>
      <c r="AL534" s="357"/>
      <c r="AM534" s="357"/>
      <c r="AN534" s="357"/>
      <c r="AO534" s="357"/>
      <c r="AP534" s="357"/>
      <c r="AQ534" s="357"/>
      <c r="AR534" s="357"/>
      <c r="AS534" s="357"/>
      <c r="AT534" s="357"/>
      <c r="AU534" s="357"/>
      <c r="AV534" s="357"/>
      <c r="AW534" s="357"/>
      <c r="AX534" s="357"/>
      <c r="AY534" s="357"/>
      <c r="AZ534" s="357"/>
      <c r="BA534" s="357"/>
      <c r="BB534" s="357"/>
      <c r="BC534" s="357"/>
      <c r="BD534" s="357"/>
    </row>
    <row r="535" spans="7:56">
      <c r="G535" s="357"/>
      <c r="H535" s="357"/>
      <c r="I535" s="357"/>
      <c r="J535" s="357"/>
      <c r="K535" s="357"/>
      <c r="L535" s="357"/>
      <c r="M535" s="357"/>
      <c r="N535" s="357"/>
      <c r="O535" s="357"/>
      <c r="P535" s="357"/>
      <c r="Q535" s="357"/>
      <c r="R535" s="357"/>
      <c r="S535" s="357"/>
      <c r="T535" s="357"/>
      <c r="U535" s="357"/>
      <c r="V535" s="357"/>
      <c r="W535" s="357"/>
      <c r="X535" s="357"/>
      <c r="Y535" s="357"/>
      <c r="Z535" s="357"/>
      <c r="AA535" s="357"/>
      <c r="AB535" s="357"/>
      <c r="AC535" s="357"/>
      <c r="AD535" s="357"/>
      <c r="AE535" s="357"/>
      <c r="AF535" s="357"/>
      <c r="AG535" s="357"/>
      <c r="AH535" s="357"/>
      <c r="AI535" s="357"/>
      <c r="AJ535" s="357"/>
      <c r="AK535" s="357"/>
      <c r="AL535" s="357"/>
      <c r="AM535" s="357"/>
      <c r="AN535" s="357"/>
      <c r="AO535" s="357"/>
      <c r="AP535" s="357"/>
      <c r="AQ535" s="357"/>
      <c r="AR535" s="357"/>
      <c r="AS535" s="357"/>
      <c r="AT535" s="357"/>
      <c r="AU535" s="357"/>
      <c r="AV535" s="357"/>
      <c r="AW535" s="357"/>
      <c r="AX535" s="357"/>
      <c r="AY535" s="357"/>
      <c r="AZ535" s="357"/>
      <c r="BA535" s="357"/>
      <c r="BB535" s="357"/>
      <c r="BC535" s="357"/>
      <c r="BD535" s="357"/>
    </row>
    <row r="536" spans="7:56">
      <c r="G536" s="357"/>
      <c r="H536" s="357"/>
      <c r="I536" s="357"/>
      <c r="J536" s="357"/>
      <c r="K536" s="357"/>
      <c r="L536" s="357"/>
      <c r="M536" s="357"/>
      <c r="N536" s="357"/>
      <c r="O536" s="357"/>
      <c r="P536" s="357"/>
      <c r="Q536" s="357"/>
      <c r="R536" s="357"/>
      <c r="S536" s="357"/>
      <c r="T536" s="357"/>
      <c r="U536" s="357"/>
      <c r="V536" s="357"/>
      <c r="W536" s="357"/>
      <c r="X536" s="357"/>
      <c r="Y536" s="357"/>
      <c r="Z536" s="357"/>
      <c r="AA536" s="357"/>
      <c r="AB536" s="357"/>
      <c r="AC536" s="357"/>
      <c r="AD536" s="357"/>
      <c r="AE536" s="357"/>
      <c r="AF536" s="357"/>
      <c r="AG536" s="357"/>
      <c r="AH536" s="357"/>
      <c r="AI536" s="357"/>
      <c r="AJ536" s="357"/>
      <c r="AK536" s="357"/>
      <c r="AL536" s="357"/>
      <c r="AM536" s="357"/>
      <c r="AN536" s="357"/>
      <c r="AO536" s="357"/>
      <c r="AP536" s="357"/>
      <c r="AQ536" s="357"/>
      <c r="AR536" s="357"/>
      <c r="AS536" s="357"/>
      <c r="AT536" s="357"/>
      <c r="AU536" s="357"/>
      <c r="AV536" s="357"/>
      <c r="AW536" s="357"/>
      <c r="AX536" s="357"/>
      <c r="AY536" s="357"/>
      <c r="AZ536" s="357"/>
      <c r="BA536" s="357"/>
      <c r="BB536" s="357"/>
      <c r="BC536" s="357"/>
      <c r="BD536" s="357"/>
    </row>
    <row r="537" spans="7:56">
      <c r="G537" s="357"/>
      <c r="H537" s="357"/>
      <c r="I537" s="357"/>
      <c r="J537" s="357"/>
      <c r="K537" s="357"/>
      <c r="L537" s="357"/>
      <c r="M537" s="357"/>
      <c r="N537" s="357"/>
      <c r="O537" s="357"/>
      <c r="P537" s="357"/>
      <c r="Q537" s="357"/>
      <c r="R537" s="357"/>
      <c r="S537" s="357"/>
      <c r="T537" s="357"/>
      <c r="U537" s="357"/>
      <c r="V537" s="357"/>
      <c r="W537" s="357"/>
      <c r="X537" s="357"/>
      <c r="Y537" s="357"/>
      <c r="Z537" s="357"/>
      <c r="AA537" s="357"/>
      <c r="AB537" s="357"/>
      <c r="AC537" s="357"/>
      <c r="AD537" s="357"/>
      <c r="AE537" s="357"/>
      <c r="AF537" s="357"/>
      <c r="AG537" s="357"/>
      <c r="AH537" s="357"/>
      <c r="AI537" s="357"/>
      <c r="AJ537" s="357"/>
      <c r="AK537" s="357"/>
      <c r="AL537" s="357"/>
      <c r="AM537" s="357"/>
      <c r="AN537" s="357"/>
      <c r="AO537" s="357"/>
      <c r="AP537" s="357"/>
      <c r="AQ537" s="357"/>
      <c r="AR537" s="357"/>
      <c r="AS537" s="357"/>
      <c r="AT537" s="357"/>
      <c r="AU537" s="357"/>
      <c r="AV537" s="357"/>
      <c r="AW537" s="357"/>
      <c r="AX537" s="357"/>
      <c r="AY537" s="357"/>
      <c r="AZ537" s="357"/>
      <c r="BA537" s="357"/>
      <c r="BB537" s="357"/>
      <c r="BC537" s="357"/>
      <c r="BD537" s="357"/>
    </row>
    <row r="538" spans="7:56">
      <c r="G538" s="357"/>
      <c r="H538" s="357"/>
      <c r="I538" s="357"/>
      <c r="J538" s="357"/>
      <c r="K538" s="357"/>
      <c r="L538" s="357"/>
      <c r="M538" s="357"/>
      <c r="N538" s="357"/>
      <c r="O538" s="357"/>
      <c r="P538" s="357"/>
      <c r="Q538" s="357"/>
      <c r="R538" s="357"/>
      <c r="S538" s="357"/>
      <c r="T538" s="357"/>
      <c r="U538" s="357"/>
      <c r="V538" s="357"/>
      <c r="W538" s="357"/>
      <c r="X538" s="357"/>
      <c r="Y538" s="357"/>
      <c r="Z538" s="357"/>
      <c r="AA538" s="357"/>
      <c r="AB538" s="357"/>
      <c r="AC538" s="357"/>
      <c r="AD538" s="357"/>
      <c r="AE538" s="357"/>
      <c r="AF538" s="357"/>
      <c r="AG538" s="357"/>
      <c r="AH538" s="357"/>
      <c r="AI538" s="357"/>
      <c r="AJ538" s="357"/>
      <c r="AK538" s="357"/>
      <c r="AL538" s="357"/>
      <c r="AM538" s="357"/>
      <c r="AN538" s="357"/>
      <c r="AO538" s="357"/>
      <c r="AP538" s="357"/>
      <c r="AQ538" s="357"/>
      <c r="AR538" s="357"/>
      <c r="AS538" s="357"/>
      <c r="AT538" s="357"/>
      <c r="AU538" s="357"/>
      <c r="AV538" s="357"/>
      <c r="AW538" s="357"/>
      <c r="AX538" s="357"/>
      <c r="AY538" s="357"/>
      <c r="AZ538" s="357"/>
      <c r="BA538" s="357"/>
      <c r="BB538" s="357"/>
      <c r="BC538" s="357"/>
      <c r="BD538" s="357"/>
    </row>
    <row r="539" spans="7:56">
      <c r="G539" s="357"/>
      <c r="H539" s="357"/>
      <c r="I539" s="357"/>
      <c r="J539" s="357"/>
      <c r="K539" s="357"/>
      <c r="L539" s="357"/>
      <c r="M539" s="357"/>
      <c r="N539" s="357"/>
      <c r="O539" s="357"/>
      <c r="P539" s="357"/>
      <c r="Q539" s="357"/>
      <c r="R539" s="357"/>
      <c r="S539" s="357"/>
      <c r="T539" s="357"/>
      <c r="U539" s="357"/>
      <c r="V539" s="357"/>
      <c r="W539" s="357"/>
      <c r="X539" s="357"/>
      <c r="Y539" s="357"/>
      <c r="Z539" s="357"/>
      <c r="AA539" s="357"/>
      <c r="AB539" s="357"/>
      <c r="AC539" s="357"/>
      <c r="AD539" s="357"/>
      <c r="AE539" s="357"/>
      <c r="AF539" s="357"/>
      <c r="AG539" s="357"/>
      <c r="AH539" s="357"/>
      <c r="AI539" s="357"/>
      <c r="AJ539" s="357"/>
      <c r="AK539" s="357"/>
      <c r="AL539" s="357"/>
      <c r="AM539" s="357"/>
      <c r="AN539" s="357"/>
      <c r="AO539" s="357"/>
      <c r="AP539" s="357"/>
      <c r="AQ539" s="357"/>
      <c r="AR539" s="357"/>
      <c r="AS539" s="357"/>
      <c r="AT539" s="357"/>
      <c r="AU539" s="357"/>
      <c r="AV539" s="357"/>
      <c r="AW539" s="357"/>
      <c r="AX539" s="357"/>
      <c r="AY539" s="357"/>
      <c r="AZ539" s="357"/>
      <c r="BA539" s="357"/>
      <c r="BB539" s="357"/>
      <c r="BC539" s="357"/>
      <c r="BD539" s="357"/>
    </row>
    <row r="540" spans="7:56">
      <c r="G540" s="357"/>
      <c r="H540" s="357"/>
      <c r="I540" s="357"/>
      <c r="J540" s="357"/>
      <c r="K540" s="357"/>
      <c r="L540" s="357"/>
      <c r="M540" s="357"/>
      <c r="N540" s="357"/>
      <c r="O540" s="357"/>
      <c r="P540" s="357"/>
      <c r="Q540" s="357"/>
      <c r="R540" s="357"/>
      <c r="S540" s="357"/>
      <c r="T540" s="357"/>
      <c r="U540" s="357"/>
      <c r="V540" s="357"/>
      <c r="W540" s="357"/>
      <c r="X540" s="357"/>
      <c r="Y540" s="357"/>
      <c r="Z540" s="357"/>
      <c r="AA540" s="357"/>
      <c r="AB540" s="357"/>
      <c r="AC540" s="357"/>
      <c r="AD540" s="357"/>
      <c r="AE540" s="357"/>
      <c r="AF540" s="357"/>
      <c r="AG540" s="357"/>
      <c r="AH540" s="357"/>
      <c r="AI540" s="357"/>
      <c r="AJ540" s="357"/>
      <c r="AK540" s="357"/>
      <c r="AL540" s="357"/>
      <c r="AM540" s="357"/>
      <c r="AN540" s="357"/>
      <c r="AO540" s="357"/>
      <c r="AP540" s="357"/>
      <c r="AQ540" s="357"/>
      <c r="AR540" s="357"/>
      <c r="AS540" s="357"/>
      <c r="AT540" s="357"/>
      <c r="AU540" s="357"/>
      <c r="AV540" s="357"/>
      <c r="AW540" s="357"/>
      <c r="AX540" s="357"/>
      <c r="AY540" s="357"/>
      <c r="AZ540" s="357"/>
      <c r="BA540" s="357"/>
      <c r="BB540" s="357"/>
      <c r="BC540" s="357"/>
      <c r="BD540" s="357"/>
    </row>
    <row r="541" spans="7:56">
      <c r="G541" s="357"/>
      <c r="H541" s="357"/>
      <c r="I541" s="357"/>
      <c r="J541" s="357"/>
      <c r="K541" s="357"/>
      <c r="L541" s="357"/>
      <c r="M541" s="357"/>
      <c r="N541" s="357"/>
      <c r="O541" s="357"/>
      <c r="P541" s="357"/>
      <c r="Q541" s="357"/>
      <c r="R541" s="357"/>
      <c r="S541" s="357"/>
      <c r="T541" s="357"/>
      <c r="U541" s="357"/>
      <c r="V541" s="357"/>
      <c r="W541" s="357"/>
      <c r="X541" s="357"/>
      <c r="Y541" s="357"/>
      <c r="Z541" s="357"/>
      <c r="AA541" s="357"/>
      <c r="AB541" s="357"/>
      <c r="AC541" s="357"/>
      <c r="AD541" s="357"/>
      <c r="AE541" s="357"/>
      <c r="AF541" s="357"/>
      <c r="AG541" s="357"/>
      <c r="AH541" s="357"/>
      <c r="AI541" s="357"/>
      <c r="AJ541" s="357"/>
      <c r="AK541" s="357"/>
      <c r="AL541" s="357"/>
      <c r="AM541" s="357"/>
      <c r="AN541" s="357"/>
      <c r="AO541" s="357"/>
      <c r="AP541" s="357"/>
      <c r="AQ541" s="357"/>
      <c r="AR541" s="357"/>
      <c r="AS541" s="357"/>
      <c r="AT541" s="357"/>
      <c r="AU541" s="357"/>
      <c r="AV541" s="357"/>
      <c r="AW541" s="357"/>
      <c r="AX541" s="357"/>
      <c r="AY541" s="357"/>
      <c r="AZ541" s="357"/>
      <c r="BA541" s="357"/>
      <c r="BB541" s="357"/>
      <c r="BC541" s="357"/>
      <c r="BD541" s="357"/>
    </row>
    <row r="542" spans="7:56">
      <c r="G542" s="357"/>
      <c r="H542" s="357"/>
      <c r="I542" s="357"/>
      <c r="J542" s="357"/>
      <c r="K542" s="357"/>
      <c r="L542" s="357"/>
      <c r="M542" s="357"/>
      <c r="N542" s="357"/>
      <c r="O542" s="357"/>
      <c r="P542" s="357"/>
      <c r="Q542" s="357"/>
      <c r="R542" s="357"/>
      <c r="S542" s="357"/>
      <c r="T542" s="357"/>
      <c r="U542" s="357"/>
      <c r="V542" s="357"/>
      <c r="W542" s="357"/>
      <c r="X542" s="357"/>
      <c r="Y542" s="357"/>
      <c r="Z542" s="357"/>
      <c r="AA542" s="357"/>
      <c r="AB542" s="357"/>
      <c r="AC542" s="357"/>
      <c r="AD542" s="357"/>
      <c r="AE542" s="357"/>
      <c r="AF542" s="357"/>
      <c r="AG542" s="357"/>
      <c r="AH542" s="357"/>
      <c r="AI542" s="357"/>
      <c r="AJ542" s="357"/>
      <c r="AK542" s="357"/>
      <c r="AL542" s="357"/>
      <c r="AM542" s="357"/>
      <c r="AN542" s="357"/>
      <c r="AO542" s="357"/>
      <c r="AP542" s="357"/>
      <c r="AQ542" s="357"/>
      <c r="AR542" s="357"/>
      <c r="AS542" s="357"/>
      <c r="AT542" s="357"/>
      <c r="AU542" s="357"/>
      <c r="AV542" s="357"/>
      <c r="AW542" s="357"/>
      <c r="AX542" s="357"/>
      <c r="AY542" s="357"/>
      <c r="AZ542" s="357"/>
      <c r="BA542" s="357"/>
      <c r="BB542" s="357"/>
      <c r="BC542" s="357"/>
      <c r="BD542" s="357"/>
    </row>
    <row r="543" spans="7:56">
      <c r="G543" s="357"/>
      <c r="H543" s="357"/>
      <c r="I543" s="357"/>
      <c r="J543" s="357"/>
      <c r="K543" s="357"/>
      <c r="L543" s="357"/>
      <c r="M543" s="357"/>
      <c r="N543" s="357"/>
      <c r="O543" s="357"/>
      <c r="P543" s="357"/>
      <c r="Q543" s="357"/>
      <c r="R543" s="357"/>
      <c r="S543" s="357"/>
      <c r="T543" s="357"/>
      <c r="U543" s="357"/>
      <c r="V543" s="357"/>
      <c r="W543" s="357"/>
      <c r="X543" s="357"/>
      <c r="Y543" s="357"/>
      <c r="Z543" s="357"/>
      <c r="AA543" s="357"/>
      <c r="AB543" s="357"/>
      <c r="AC543" s="357"/>
      <c r="AD543" s="357"/>
      <c r="AE543" s="357"/>
      <c r="AF543" s="357"/>
      <c r="AG543" s="357"/>
      <c r="AH543" s="357"/>
      <c r="AI543" s="357"/>
      <c r="AJ543" s="357"/>
      <c r="AK543" s="357"/>
      <c r="AL543" s="357"/>
      <c r="AM543" s="357"/>
      <c r="AN543" s="357"/>
      <c r="AO543" s="357"/>
      <c r="AP543" s="357"/>
      <c r="AQ543" s="357"/>
      <c r="AR543" s="357"/>
      <c r="AS543" s="357"/>
      <c r="AT543" s="357"/>
      <c r="AU543" s="357"/>
      <c r="AV543" s="357"/>
      <c r="AW543" s="357"/>
      <c r="AX543" s="357"/>
      <c r="AY543" s="357"/>
      <c r="AZ543" s="357"/>
      <c r="BA543" s="357"/>
      <c r="BB543" s="357"/>
      <c r="BC543" s="357"/>
      <c r="BD543" s="357"/>
    </row>
    <row r="544" spans="7:56">
      <c r="G544" s="357"/>
      <c r="H544" s="357"/>
      <c r="I544" s="357"/>
      <c r="J544" s="357"/>
      <c r="K544" s="357"/>
      <c r="L544" s="357"/>
      <c r="M544" s="357"/>
      <c r="N544" s="357"/>
      <c r="O544" s="357"/>
      <c r="P544" s="357"/>
      <c r="Q544" s="357"/>
      <c r="R544" s="357"/>
      <c r="S544" s="357"/>
      <c r="T544" s="357"/>
      <c r="U544" s="357"/>
      <c r="V544" s="357"/>
      <c r="W544" s="357"/>
      <c r="X544" s="357"/>
      <c r="Y544" s="357"/>
      <c r="Z544" s="357"/>
      <c r="AA544" s="357"/>
      <c r="AB544" s="357"/>
      <c r="AC544" s="357"/>
      <c r="AD544" s="357"/>
      <c r="AE544" s="357"/>
      <c r="AF544" s="357"/>
      <c r="AG544" s="357"/>
      <c r="AH544" s="357"/>
      <c r="AI544" s="357"/>
      <c r="AJ544" s="357"/>
      <c r="AK544" s="357"/>
      <c r="AL544" s="357"/>
      <c r="AM544" s="357"/>
      <c r="AN544" s="357"/>
      <c r="AO544" s="357"/>
      <c r="AP544" s="357"/>
      <c r="AQ544" s="357"/>
      <c r="AR544" s="357"/>
      <c r="AS544" s="357"/>
      <c r="AT544" s="357"/>
      <c r="AU544" s="357"/>
      <c r="AV544" s="357"/>
      <c r="AW544" s="357"/>
      <c r="AX544" s="357"/>
      <c r="AY544" s="357"/>
      <c r="AZ544" s="357"/>
      <c r="BA544" s="357"/>
      <c r="BB544" s="357"/>
      <c r="BC544" s="357"/>
      <c r="BD544" s="357"/>
    </row>
    <row r="545" spans="7:56">
      <c r="G545" s="357"/>
      <c r="H545" s="357"/>
      <c r="I545" s="357"/>
      <c r="J545" s="357"/>
      <c r="K545" s="357"/>
      <c r="L545" s="357"/>
      <c r="M545" s="357"/>
      <c r="N545" s="357"/>
      <c r="O545" s="357"/>
      <c r="P545" s="357"/>
      <c r="Q545" s="357"/>
      <c r="R545" s="357"/>
      <c r="S545" s="357"/>
      <c r="T545" s="357"/>
      <c r="U545" s="357"/>
      <c r="V545" s="357"/>
      <c r="W545" s="357"/>
      <c r="X545" s="357"/>
      <c r="Y545" s="357"/>
      <c r="Z545" s="357"/>
      <c r="AA545" s="357"/>
      <c r="AB545" s="357"/>
      <c r="AC545" s="357"/>
      <c r="AD545" s="357"/>
      <c r="AE545" s="357"/>
      <c r="AF545" s="357"/>
      <c r="AG545" s="357"/>
      <c r="AH545" s="357"/>
      <c r="AI545" s="357"/>
      <c r="AJ545" s="357"/>
      <c r="AK545" s="357"/>
      <c r="AL545" s="357"/>
      <c r="AM545" s="357"/>
      <c r="AN545" s="357"/>
      <c r="AO545" s="357"/>
      <c r="AP545" s="357"/>
      <c r="AQ545" s="357"/>
      <c r="AR545" s="357"/>
      <c r="AS545" s="357"/>
      <c r="AT545" s="357"/>
      <c r="AU545" s="357"/>
      <c r="AV545" s="357"/>
      <c r="AW545" s="357"/>
      <c r="AX545" s="357"/>
      <c r="AY545" s="357"/>
      <c r="AZ545" s="357"/>
      <c r="BA545" s="357"/>
      <c r="BB545" s="357"/>
      <c r="BC545" s="357"/>
      <c r="BD545" s="357"/>
    </row>
    <row r="546" spans="7:56">
      <c r="G546" s="357"/>
      <c r="H546" s="357"/>
      <c r="I546" s="357"/>
      <c r="J546" s="357"/>
      <c r="K546" s="357"/>
      <c r="L546" s="357"/>
      <c r="M546" s="357"/>
      <c r="N546" s="357"/>
      <c r="O546" s="357"/>
      <c r="P546" s="357"/>
      <c r="Q546" s="357"/>
      <c r="R546" s="357"/>
      <c r="S546" s="357"/>
      <c r="T546" s="357"/>
      <c r="U546" s="357"/>
      <c r="V546" s="357"/>
      <c r="W546" s="357"/>
      <c r="X546" s="357"/>
      <c r="Y546" s="357"/>
      <c r="Z546" s="357"/>
      <c r="AA546" s="357"/>
      <c r="AB546" s="357"/>
      <c r="AC546" s="357"/>
      <c r="AD546" s="357"/>
      <c r="AE546" s="357"/>
      <c r="AF546" s="357"/>
      <c r="AG546" s="357"/>
      <c r="AH546" s="357"/>
      <c r="AI546" s="357"/>
      <c r="AJ546" s="357"/>
      <c r="AK546" s="357"/>
      <c r="AL546" s="357"/>
      <c r="AM546" s="357"/>
      <c r="AN546" s="357"/>
      <c r="AO546" s="357"/>
      <c r="AP546" s="357"/>
      <c r="AQ546" s="357"/>
      <c r="AR546" s="357"/>
      <c r="AS546" s="357"/>
      <c r="AT546" s="357"/>
      <c r="AU546" s="357"/>
      <c r="AV546" s="357"/>
      <c r="AW546" s="357"/>
      <c r="AX546" s="357"/>
      <c r="AY546" s="357"/>
      <c r="AZ546" s="357"/>
      <c r="BA546" s="357"/>
      <c r="BB546" s="357"/>
      <c r="BC546" s="357"/>
      <c r="BD546" s="357"/>
    </row>
    <row r="547" spans="7:56">
      <c r="G547" s="357"/>
      <c r="H547" s="357"/>
      <c r="I547" s="357"/>
      <c r="J547" s="357"/>
      <c r="K547" s="357"/>
      <c r="L547" s="357"/>
      <c r="M547" s="357"/>
      <c r="N547" s="357"/>
      <c r="O547" s="357"/>
      <c r="P547" s="357"/>
      <c r="Q547" s="357"/>
      <c r="R547" s="357"/>
      <c r="S547" s="357"/>
      <c r="T547" s="357"/>
      <c r="U547" s="357"/>
      <c r="V547" s="357"/>
      <c r="W547" s="357"/>
      <c r="X547" s="357"/>
      <c r="Y547" s="357"/>
      <c r="Z547" s="357"/>
      <c r="AA547" s="357"/>
      <c r="AB547" s="357"/>
      <c r="AC547" s="357"/>
      <c r="AD547" s="357"/>
      <c r="AE547" s="357"/>
      <c r="AF547" s="357"/>
      <c r="AG547" s="357"/>
      <c r="AH547" s="357"/>
      <c r="AI547" s="357"/>
      <c r="AJ547" s="357"/>
      <c r="AK547" s="357"/>
      <c r="AL547" s="357"/>
      <c r="AM547" s="357"/>
      <c r="AN547" s="357"/>
      <c r="AO547" s="357"/>
      <c r="AP547" s="357"/>
      <c r="AQ547" s="357"/>
      <c r="AR547" s="357"/>
      <c r="AS547" s="357"/>
      <c r="AT547" s="357"/>
      <c r="AU547" s="357"/>
      <c r="AV547" s="357"/>
      <c r="AW547" s="357"/>
      <c r="AX547" s="357"/>
      <c r="AY547" s="357"/>
      <c r="AZ547" s="357"/>
      <c r="BA547" s="357"/>
      <c r="BB547" s="357"/>
      <c r="BC547" s="357"/>
      <c r="BD547" s="357"/>
    </row>
    <row r="548" spans="7:56">
      <c r="G548" s="357"/>
      <c r="H548" s="357"/>
      <c r="I548" s="357"/>
      <c r="J548" s="357"/>
      <c r="K548" s="357"/>
      <c r="L548" s="357"/>
      <c r="M548" s="357"/>
      <c r="N548" s="357"/>
      <c r="O548" s="357"/>
      <c r="P548" s="357"/>
      <c r="Q548" s="357"/>
      <c r="R548" s="357"/>
      <c r="S548" s="357"/>
      <c r="T548" s="357"/>
      <c r="U548" s="357"/>
      <c r="V548" s="357"/>
      <c r="W548" s="357"/>
      <c r="X548" s="357"/>
      <c r="Y548" s="357"/>
      <c r="Z548" s="357"/>
      <c r="AA548" s="357"/>
      <c r="AB548" s="357"/>
      <c r="AC548" s="357"/>
      <c r="AD548" s="357"/>
      <c r="AE548" s="357"/>
      <c r="AF548" s="357"/>
      <c r="AG548" s="357"/>
      <c r="AH548" s="357"/>
      <c r="AI548" s="357"/>
      <c r="AJ548" s="357"/>
      <c r="AK548" s="357"/>
      <c r="AL548" s="357"/>
      <c r="AM548" s="357"/>
      <c r="AN548" s="357"/>
      <c r="AO548" s="357"/>
      <c r="AP548" s="357"/>
      <c r="AQ548" s="357"/>
      <c r="AR548" s="357"/>
      <c r="AS548" s="357"/>
      <c r="AT548" s="357"/>
      <c r="AU548" s="357"/>
      <c r="AV548" s="357"/>
      <c r="AW548" s="357"/>
      <c r="AX548" s="357"/>
      <c r="AY548" s="357"/>
      <c r="AZ548" s="357"/>
      <c r="BA548" s="357"/>
      <c r="BB548" s="357"/>
      <c r="BC548" s="357"/>
      <c r="BD548" s="357"/>
    </row>
    <row r="549" spans="7:56">
      <c r="G549" s="357"/>
      <c r="H549" s="357"/>
      <c r="I549" s="357"/>
      <c r="J549" s="357"/>
      <c r="K549" s="357"/>
      <c r="L549" s="357"/>
      <c r="M549" s="357"/>
      <c r="N549" s="357"/>
      <c r="O549" s="357"/>
      <c r="P549" s="357"/>
      <c r="Q549" s="357"/>
      <c r="R549" s="357"/>
      <c r="S549" s="357"/>
      <c r="T549" s="357"/>
      <c r="U549" s="357"/>
      <c r="V549" s="357"/>
      <c r="W549" s="357"/>
      <c r="X549" s="357"/>
      <c r="Y549" s="357"/>
      <c r="Z549" s="357"/>
      <c r="AA549" s="357"/>
      <c r="AB549" s="357"/>
      <c r="AC549" s="357"/>
      <c r="AD549" s="357"/>
      <c r="AE549" s="357"/>
      <c r="AF549" s="357"/>
      <c r="AG549" s="357"/>
      <c r="AH549" s="357"/>
      <c r="AI549" s="357"/>
      <c r="AJ549" s="357"/>
      <c r="AK549" s="357"/>
      <c r="AL549" s="357"/>
      <c r="AM549" s="357"/>
      <c r="AN549" s="357"/>
      <c r="AO549" s="357"/>
      <c r="AP549" s="357"/>
      <c r="AQ549" s="357"/>
      <c r="AR549" s="357"/>
      <c r="AS549" s="357"/>
      <c r="AT549" s="357"/>
      <c r="AU549" s="357"/>
      <c r="AV549" s="357"/>
      <c r="AW549" s="357"/>
      <c r="AX549" s="357"/>
      <c r="AY549" s="357"/>
      <c r="AZ549" s="357"/>
      <c r="BA549" s="357"/>
      <c r="BB549" s="357"/>
      <c r="BC549" s="357"/>
      <c r="BD549" s="357"/>
    </row>
    <row r="550" spans="7:56">
      <c r="G550" s="357"/>
      <c r="H550" s="357"/>
      <c r="I550" s="357"/>
      <c r="J550" s="357"/>
      <c r="K550" s="357"/>
      <c r="L550" s="357"/>
      <c r="M550" s="357"/>
      <c r="N550" s="357"/>
      <c r="O550" s="357"/>
      <c r="P550" s="357"/>
      <c r="Q550" s="357"/>
      <c r="R550" s="357"/>
      <c r="S550" s="357"/>
      <c r="T550" s="357"/>
      <c r="U550" s="357"/>
      <c r="V550" s="357"/>
      <c r="W550" s="357"/>
      <c r="X550" s="357"/>
      <c r="Y550" s="357"/>
      <c r="Z550" s="357"/>
      <c r="AA550" s="357"/>
      <c r="AB550" s="357"/>
      <c r="AC550" s="357"/>
      <c r="AD550" s="357"/>
      <c r="AE550" s="357"/>
      <c r="AF550" s="357"/>
      <c r="AG550" s="357"/>
      <c r="AH550" s="357"/>
      <c r="AI550" s="357"/>
      <c r="AJ550" s="357"/>
      <c r="AK550" s="357"/>
      <c r="AL550" s="357"/>
      <c r="AM550" s="357"/>
      <c r="AN550" s="357"/>
      <c r="AO550" s="357"/>
      <c r="AP550" s="357"/>
      <c r="AQ550" s="357"/>
      <c r="AR550" s="357"/>
      <c r="AS550" s="357"/>
      <c r="AT550" s="357"/>
      <c r="AU550" s="357"/>
      <c r="AV550" s="357"/>
      <c r="AW550" s="357"/>
      <c r="AX550" s="357"/>
      <c r="AY550" s="357"/>
      <c r="AZ550" s="357"/>
      <c r="BA550" s="357"/>
      <c r="BB550" s="357"/>
      <c r="BC550" s="357"/>
      <c r="BD550" s="357"/>
    </row>
    <row r="551" spans="7:56">
      <c r="G551" s="357"/>
      <c r="H551" s="357"/>
      <c r="I551" s="357"/>
      <c r="J551" s="357"/>
      <c r="K551" s="357"/>
      <c r="L551" s="357"/>
      <c r="M551" s="357"/>
      <c r="N551" s="357"/>
      <c r="O551" s="357"/>
      <c r="P551" s="357"/>
      <c r="Q551" s="357"/>
      <c r="R551" s="357"/>
      <c r="S551" s="357"/>
      <c r="T551" s="357"/>
      <c r="U551" s="357"/>
      <c r="V551" s="357"/>
      <c r="W551" s="357"/>
      <c r="X551" s="357"/>
      <c r="Y551" s="357"/>
      <c r="Z551" s="357"/>
      <c r="AA551" s="357"/>
      <c r="AB551" s="357"/>
      <c r="AC551" s="357"/>
      <c r="AD551" s="357"/>
      <c r="AE551" s="357"/>
      <c r="AF551" s="357"/>
      <c r="AG551" s="357"/>
      <c r="AH551" s="357"/>
      <c r="AI551" s="357"/>
      <c r="AJ551" s="357"/>
      <c r="AK551" s="357"/>
      <c r="AL551" s="357"/>
      <c r="AM551" s="357"/>
      <c r="AN551" s="357"/>
      <c r="AO551" s="357"/>
      <c r="AP551" s="357"/>
      <c r="AQ551" s="357"/>
      <c r="AR551" s="357"/>
      <c r="AS551" s="357"/>
      <c r="AT551" s="357"/>
      <c r="AU551" s="357"/>
      <c r="AV551" s="357"/>
      <c r="AW551" s="357"/>
      <c r="AX551" s="357"/>
      <c r="AY551" s="357"/>
      <c r="AZ551" s="357"/>
      <c r="BA551" s="357"/>
      <c r="BB551" s="357"/>
      <c r="BC551" s="357"/>
      <c r="BD551" s="357"/>
    </row>
    <row r="552" spans="7:56">
      <c r="G552" s="357"/>
      <c r="H552" s="357"/>
      <c r="I552" s="357"/>
      <c r="J552" s="357"/>
      <c r="K552" s="357"/>
      <c r="L552" s="357"/>
      <c r="M552" s="357"/>
      <c r="N552" s="357"/>
      <c r="O552" s="357"/>
      <c r="P552" s="357"/>
      <c r="Q552" s="357"/>
      <c r="R552" s="357"/>
      <c r="S552" s="357"/>
      <c r="T552" s="357"/>
      <c r="U552" s="357"/>
      <c r="V552" s="357"/>
      <c r="W552" s="357"/>
      <c r="X552" s="357"/>
      <c r="Y552" s="357"/>
      <c r="Z552" s="357"/>
      <c r="AA552" s="357"/>
      <c r="AB552" s="357"/>
      <c r="AC552" s="357"/>
      <c r="AD552" s="357"/>
      <c r="AE552" s="357"/>
      <c r="AF552" s="357"/>
      <c r="AG552" s="357"/>
      <c r="AH552" s="357"/>
      <c r="AI552" s="357"/>
      <c r="AJ552" s="357"/>
      <c r="AK552" s="357"/>
      <c r="AL552" s="357"/>
      <c r="AM552" s="357"/>
      <c r="AN552" s="357"/>
      <c r="AO552" s="357"/>
      <c r="AP552" s="357"/>
      <c r="AQ552" s="357"/>
      <c r="AR552" s="357"/>
      <c r="AS552" s="357"/>
      <c r="AT552" s="357"/>
      <c r="AU552" s="357"/>
      <c r="AV552" s="357"/>
      <c r="AW552" s="357"/>
      <c r="AX552" s="357"/>
      <c r="AY552" s="357"/>
      <c r="AZ552" s="357"/>
      <c r="BA552" s="357"/>
      <c r="BB552" s="357"/>
      <c r="BC552" s="357"/>
      <c r="BD552" s="357"/>
    </row>
    <row r="553" spans="7:56">
      <c r="G553" s="357"/>
      <c r="H553" s="357"/>
      <c r="I553" s="357"/>
      <c r="J553" s="357"/>
      <c r="K553" s="357"/>
      <c r="L553" s="357"/>
      <c r="M553" s="357"/>
      <c r="N553" s="357"/>
      <c r="O553" s="357"/>
      <c r="P553" s="357"/>
      <c r="Q553" s="357"/>
      <c r="R553" s="357"/>
      <c r="S553" s="357"/>
      <c r="T553" s="357"/>
      <c r="U553" s="357"/>
      <c r="V553" s="357"/>
      <c r="W553" s="357"/>
      <c r="X553" s="357"/>
      <c r="Y553" s="357"/>
      <c r="Z553" s="357"/>
      <c r="AA553" s="357"/>
      <c r="AB553" s="357"/>
      <c r="AC553" s="357"/>
      <c r="AD553" s="357"/>
      <c r="AE553" s="357"/>
      <c r="AF553" s="357"/>
      <c r="AG553" s="357"/>
      <c r="AH553" s="357"/>
      <c r="AI553" s="357"/>
      <c r="AJ553" s="357"/>
      <c r="AK553" s="357"/>
      <c r="AL553" s="357"/>
      <c r="AM553" s="357"/>
      <c r="AN553" s="357"/>
      <c r="AO553" s="357"/>
      <c r="AP553" s="357"/>
      <c r="AQ553" s="357"/>
      <c r="AR553" s="357"/>
      <c r="AS553" s="357"/>
      <c r="AT553" s="357"/>
      <c r="AU553" s="357"/>
      <c r="AV553" s="357"/>
      <c r="AW553" s="357"/>
      <c r="AX553" s="357"/>
      <c r="AY553" s="357"/>
      <c r="AZ553" s="357"/>
      <c r="BA553" s="357"/>
      <c r="BB553" s="357"/>
      <c r="BC553" s="357"/>
      <c r="BD553" s="357"/>
    </row>
    <row r="554" spans="7:56">
      <c r="G554" s="357"/>
      <c r="H554" s="357"/>
      <c r="I554" s="357"/>
      <c r="J554" s="357"/>
      <c r="K554" s="357"/>
      <c r="L554" s="357"/>
      <c r="M554" s="357"/>
      <c r="N554" s="357"/>
      <c r="O554" s="357"/>
      <c r="P554" s="357"/>
      <c r="Q554" s="357"/>
      <c r="R554" s="357"/>
      <c r="S554" s="357"/>
      <c r="T554" s="357"/>
      <c r="U554" s="357"/>
      <c r="V554" s="357"/>
      <c r="W554" s="357"/>
      <c r="X554" s="357"/>
      <c r="Y554" s="357"/>
      <c r="Z554" s="357"/>
      <c r="AA554" s="357"/>
      <c r="AB554" s="357"/>
      <c r="AC554" s="357"/>
      <c r="AD554" s="357"/>
      <c r="AE554" s="357"/>
      <c r="AF554" s="357"/>
      <c r="AG554" s="357"/>
      <c r="AH554" s="357"/>
      <c r="AI554" s="357"/>
      <c r="AJ554" s="357"/>
      <c r="AK554" s="357"/>
      <c r="AL554" s="357"/>
      <c r="AM554" s="357"/>
      <c r="AN554" s="357"/>
      <c r="AO554" s="357"/>
      <c r="AP554" s="357"/>
      <c r="AQ554" s="357"/>
      <c r="AR554" s="357"/>
      <c r="AS554" s="357"/>
      <c r="AT554" s="357"/>
      <c r="AU554" s="357"/>
      <c r="AV554" s="357"/>
      <c r="AW554" s="357"/>
      <c r="AX554" s="357"/>
      <c r="AY554" s="357"/>
      <c r="AZ554" s="357"/>
      <c r="BA554" s="357"/>
      <c r="BB554" s="357"/>
      <c r="BC554" s="357"/>
      <c r="BD554" s="357"/>
    </row>
    <row r="555" spans="7:56">
      <c r="G555" s="357"/>
      <c r="H555" s="357"/>
      <c r="I555" s="357"/>
      <c r="J555" s="357"/>
      <c r="K555" s="357"/>
      <c r="L555" s="357"/>
      <c r="M555" s="357"/>
      <c r="N555" s="357"/>
      <c r="O555" s="357"/>
      <c r="P555" s="357"/>
      <c r="Q555" s="357"/>
      <c r="R555" s="357"/>
      <c r="S555" s="357"/>
      <c r="T555" s="357"/>
      <c r="U555" s="357"/>
      <c r="V555" s="357"/>
      <c r="W555" s="357"/>
      <c r="X555" s="357"/>
      <c r="Y555" s="357"/>
      <c r="Z555" s="357"/>
      <c r="AA555" s="357"/>
      <c r="AB555" s="357"/>
      <c r="AC555" s="357"/>
      <c r="AD555" s="357"/>
      <c r="AE555" s="357"/>
      <c r="AF555" s="357"/>
      <c r="AG555" s="357"/>
      <c r="AH555" s="357"/>
      <c r="AI555" s="357"/>
      <c r="AJ555" s="357"/>
      <c r="AK555" s="357"/>
      <c r="AL555" s="357"/>
      <c r="AM555" s="357"/>
      <c r="AN555" s="357"/>
      <c r="AO555" s="357"/>
      <c r="AP555" s="357"/>
      <c r="AQ555" s="357"/>
      <c r="AR555" s="357"/>
      <c r="AS555" s="357"/>
      <c r="AT555" s="357"/>
      <c r="AU555" s="357"/>
      <c r="AV555" s="357"/>
      <c r="AW555" s="357"/>
      <c r="AX555" s="357"/>
      <c r="AY555" s="357"/>
      <c r="AZ555" s="357"/>
      <c r="BA555" s="357"/>
      <c r="BB555" s="357"/>
      <c r="BC555" s="357"/>
      <c r="BD555" s="357"/>
    </row>
    <row r="556" spans="7:56">
      <c r="G556" s="357"/>
      <c r="H556" s="357"/>
      <c r="I556" s="357"/>
      <c r="J556" s="357"/>
      <c r="K556" s="357"/>
      <c r="L556" s="357"/>
      <c r="M556" s="357"/>
      <c r="N556" s="357"/>
      <c r="O556" s="357"/>
      <c r="P556" s="357"/>
      <c r="Q556" s="357"/>
      <c r="R556" s="357"/>
      <c r="S556" s="357"/>
      <c r="T556" s="357"/>
      <c r="U556" s="357"/>
      <c r="V556" s="357"/>
      <c r="W556" s="357"/>
      <c r="X556" s="357"/>
      <c r="Y556" s="357"/>
      <c r="Z556" s="357"/>
      <c r="AA556" s="357"/>
      <c r="AB556" s="357"/>
      <c r="AC556" s="357"/>
      <c r="AD556" s="357"/>
      <c r="AE556" s="357"/>
      <c r="AF556" s="357"/>
      <c r="AG556" s="357"/>
      <c r="AH556" s="357"/>
      <c r="AI556" s="357"/>
      <c r="AJ556" s="357"/>
      <c r="AK556" s="357"/>
      <c r="AL556" s="357"/>
      <c r="AM556" s="357"/>
      <c r="AN556" s="357"/>
      <c r="AO556" s="357"/>
      <c r="AP556" s="357"/>
      <c r="AQ556" s="357"/>
      <c r="AR556" s="357"/>
      <c r="AS556" s="357"/>
      <c r="AT556" s="357"/>
      <c r="AU556" s="357"/>
      <c r="AV556" s="357"/>
      <c r="AW556" s="357"/>
      <c r="AX556" s="357"/>
      <c r="AY556" s="357"/>
      <c r="AZ556" s="357"/>
      <c r="BA556" s="357"/>
      <c r="BB556" s="357"/>
      <c r="BC556" s="357"/>
      <c r="BD556" s="357"/>
    </row>
    <row r="557" spans="7:56">
      <c r="G557" s="357"/>
      <c r="H557" s="357"/>
      <c r="I557" s="357"/>
      <c r="J557" s="357"/>
      <c r="K557" s="357"/>
      <c r="L557" s="357"/>
      <c r="M557" s="357"/>
      <c r="N557" s="357"/>
      <c r="O557" s="357"/>
      <c r="P557" s="357"/>
      <c r="Q557" s="357"/>
      <c r="R557" s="357"/>
      <c r="S557" s="357"/>
      <c r="T557" s="357"/>
      <c r="U557" s="357"/>
      <c r="V557" s="357"/>
      <c r="W557" s="357"/>
      <c r="X557" s="357"/>
      <c r="Y557" s="357"/>
      <c r="Z557" s="357"/>
      <c r="AA557" s="357"/>
      <c r="AB557" s="357"/>
      <c r="AC557" s="357"/>
      <c r="AD557" s="357"/>
      <c r="AE557" s="357"/>
      <c r="AF557" s="357"/>
      <c r="AG557" s="357"/>
      <c r="AH557" s="357"/>
      <c r="AI557" s="357"/>
      <c r="AJ557" s="357"/>
      <c r="AK557" s="357"/>
      <c r="AL557" s="357"/>
      <c r="AM557" s="357"/>
      <c r="AN557" s="357"/>
      <c r="AO557" s="357"/>
      <c r="AP557" s="357"/>
      <c r="AQ557" s="357"/>
      <c r="AR557" s="357"/>
      <c r="AS557" s="357"/>
      <c r="AT557" s="357"/>
      <c r="AU557" s="357"/>
      <c r="AV557" s="357"/>
      <c r="AW557" s="357"/>
      <c r="AX557" s="357"/>
      <c r="AY557" s="357"/>
      <c r="AZ557" s="357"/>
      <c r="BA557" s="357"/>
      <c r="BB557" s="357"/>
      <c r="BC557" s="357"/>
      <c r="BD557" s="357"/>
    </row>
    <row r="558" spans="7:56">
      <c r="G558" s="357"/>
      <c r="H558" s="357"/>
      <c r="I558" s="357"/>
      <c r="J558" s="357"/>
      <c r="K558" s="357"/>
      <c r="L558" s="357"/>
      <c r="M558" s="357"/>
      <c r="N558" s="357"/>
      <c r="O558" s="357"/>
      <c r="P558" s="357"/>
      <c r="Q558" s="357"/>
      <c r="R558" s="357"/>
      <c r="S558" s="357"/>
      <c r="T558" s="357"/>
      <c r="U558" s="357"/>
      <c r="V558" s="357"/>
      <c r="W558" s="357"/>
      <c r="X558" s="357"/>
      <c r="Y558" s="357"/>
      <c r="Z558" s="357"/>
      <c r="AA558" s="357"/>
      <c r="AB558" s="357"/>
      <c r="AC558" s="357"/>
      <c r="AD558" s="357"/>
      <c r="AE558" s="357"/>
      <c r="AF558" s="357"/>
      <c r="AG558" s="357"/>
      <c r="AH558" s="357"/>
      <c r="AI558" s="357"/>
      <c r="AJ558" s="357"/>
      <c r="AK558" s="357"/>
      <c r="AL558" s="357"/>
      <c r="AM558" s="357"/>
      <c r="AN558" s="357"/>
      <c r="AO558" s="357"/>
      <c r="AP558" s="357"/>
      <c r="AQ558" s="357"/>
      <c r="AR558" s="357"/>
      <c r="AS558" s="357"/>
      <c r="AT558" s="357"/>
      <c r="AU558" s="357"/>
      <c r="AV558" s="357"/>
      <c r="AW558" s="357"/>
      <c r="AX558" s="357"/>
      <c r="AY558" s="357"/>
      <c r="AZ558" s="357"/>
      <c r="BA558" s="357"/>
      <c r="BB558" s="357"/>
      <c r="BC558" s="357"/>
      <c r="BD558" s="357"/>
    </row>
    <row r="559" spans="7:56">
      <c r="G559" s="357"/>
      <c r="H559" s="357"/>
      <c r="I559" s="357"/>
      <c r="J559" s="357"/>
      <c r="K559" s="357"/>
      <c r="L559" s="357"/>
      <c r="M559" s="357"/>
      <c r="N559" s="357"/>
      <c r="O559" s="357"/>
      <c r="P559" s="357"/>
      <c r="Q559" s="357"/>
      <c r="R559" s="357"/>
      <c r="S559" s="357"/>
      <c r="T559" s="357"/>
      <c r="U559" s="357"/>
      <c r="V559" s="357"/>
      <c r="W559" s="357"/>
      <c r="X559" s="357"/>
      <c r="Y559" s="357"/>
      <c r="Z559" s="357"/>
      <c r="AA559" s="357"/>
      <c r="AB559" s="357"/>
      <c r="AC559" s="357"/>
      <c r="AD559" s="357"/>
      <c r="AE559" s="357"/>
      <c r="AF559" s="357"/>
      <c r="AG559" s="357"/>
      <c r="AH559" s="357"/>
      <c r="AI559" s="357"/>
      <c r="AJ559" s="357"/>
      <c r="AK559" s="357"/>
      <c r="AL559" s="357"/>
      <c r="AM559" s="357"/>
      <c r="AN559" s="357"/>
      <c r="AO559" s="357"/>
      <c r="AP559" s="357"/>
      <c r="AQ559" s="357"/>
      <c r="AR559" s="357"/>
      <c r="AS559" s="357"/>
      <c r="AT559" s="357"/>
      <c r="AU559" s="357"/>
      <c r="AV559" s="357"/>
      <c r="AW559" s="357"/>
      <c r="AX559" s="357"/>
      <c r="AY559" s="357"/>
      <c r="AZ559" s="357"/>
      <c r="BA559" s="357"/>
      <c r="BB559" s="357"/>
      <c r="BC559" s="357"/>
      <c r="BD559" s="357"/>
    </row>
    <row r="560" spans="7:56">
      <c r="G560" s="357"/>
      <c r="H560" s="357"/>
      <c r="I560" s="357"/>
      <c r="J560" s="357"/>
      <c r="K560" s="357"/>
      <c r="L560" s="357"/>
      <c r="M560" s="357"/>
      <c r="N560" s="357"/>
      <c r="O560" s="357"/>
      <c r="P560" s="357"/>
      <c r="Q560" s="357"/>
      <c r="R560" s="357"/>
      <c r="S560" s="357"/>
      <c r="T560" s="357"/>
      <c r="U560" s="357"/>
      <c r="V560" s="357"/>
      <c r="W560" s="357"/>
      <c r="X560" s="357"/>
      <c r="Y560" s="357"/>
      <c r="Z560" s="357"/>
      <c r="AA560" s="357"/>
      <c r="AB560" s="357"/>
      <c r="AC560" s="357"/>
      <c r="AD560" s="357"/>
      <c r="AE560" s="357"/>
      <c r="AF560" s="357"/>
      <c r="AG560" s="357"/>
      <c r="AH560" s="357"/>
      <c r="AI560" s="357"/>
      <c r="AJ560" s="357"/>
      <c r="AK560" s="357"/>
      <c r="AL560" s="357"/>
      <c r="AM560" s="357"/>
      <c r="AN560" s="357"/>
      <c r="AO560" s="357"/>
      <c r="AP560" s="357"/>
      <c r="AQ560" s="357"/>
      <c r="AR560" s="357"/>
      <c r="AS560" s="357"/>
      <c r="AT560" s="357"/>
      <c r="AU560" s="357"/>
      <c r="AV560" s="357"/>
      <c r="AW560" s="357"/>
      <c r="AX560" s="357"/>
      <c r="AY560" s="357"/>
      <c r="AZ560" s="357"/>
      <c r="BA560" s="357"/>
      <c r="BB560" s="357"/>
      <c r="BC560" s="357"/>
      <c r="BD560" s="357"/>
    </row>
    <row r="561" spans="7:56">
      <c r="G561" s="357"/>
      <c r="H561" s="357"/>
      <c r="I561" s="357"/>
      <c r="J561" s="357"/>
      <c r="K561" s="357"/>
      <c r="L561" s="357"/>
      <c r="M561" s="357"/>
      <c r="N561" s="357"/>
      <c r="O561" s="357"/>
      <c r="P561" s="357"/>
      <c r="Q561" s="357"/>
      <c r="R561" s="357"/>
      <c r="S561" s="357"/>
      <c r="T561" s="357"/>
      <c r="U561" s="357"/>
      <c r="V561" s="357"/>
      <c r="W561" s="357"/>
      <c r="X561" s="357"/>
      <c r="Y561" s="357"/>
      <c r="Z561" s="357"/>
      <c r="AA561" s="357"/>
      <c r="AB561" s="357"/>
      <c r="AC561" s="357"/>
      <c r="AD561" s="357"/>
      <c r="AE561" s="357"/>
      <c r="AF561" s="357"/>
      <c r="AG561" s="357"/>
      <c r="AH561" s="357"/>
      <c r="AI561" s="357"/>
      <c r="AJ561" s="357"/>
      <c r="AK561" s="357"/>
      <c r="AL561" s="357"/>
      <c r="AM561" s="357"/>
      <c r="AN561" s="357"/>
      <c r="AO561" s="357"/>
      <c r="AP561" s="357"/>
      <c r="AQ561" s="357"/>
      <c r="AR561" s="357"/>
      <c r="AS561" s="357"/>
      <c r="AT561" s="357"/>
      <c r="AU561" s="357"/>
      <c r="AV561" s="357"/>
      <c r="AW561" s="357"/>
      <c r="AX561" s="357"/>
      <c r="AY561" s="357"/>
      <c r="AZ561" s="357"/>
      <c r="BA561" s="357"/>
      <c r="BB561" s="357"/>
      <c r="BC561" s="357"/>
      <c r="BD561" s="357"/>
    </row>
    <row r="562" spans="7:56">
      <c r="G562" s="357"/>
      <c r="H562" s="357"/>
      <c r="I562" s="357"/>
      <c r="J562" s="357"/>
      <c r="K562" s="357"/>
      <c r="L562" s="357"/>
      <c r="M562" s="357"/>
      <c r="N562" s="357"/>
      <c r="O562" s="357"/>
      <c r="P562" s="357"/>
      <c r="Q562" s="357"/>
      <c r="R562" s="357"/>
      <c r="S562" s="357"/>
      <c r="T562" s="357"/>
      <c r="U562" s="357"/>
      <c r="V562" s="357"/>
      <c r="W562" s="357"/>
      <c r="X562" s="357"/>
      <c r="Y562" s="357"/>
      <c r="Z562" s="357"/>
      <c r="AA562" s="357"/>
      <c r="AB562" s="357"/>
      <c r="AC562" s="357"/>
      <c r="AD562" s="357"/>
      <c r="AE562" s="357"/>
      <c r="AF562" s="357"/>
      <c r="AG562" s="357"/>
      <c r="AH562" s="357"/>
      <c r="AI562" s="357"/>
      <c r="AJ562" s="357"/>
      <c r="AK562" s="357"/>
      <c r="AL562" s="357"/>
      <c r="AM562" s="357"/>
      <c r="AN562" s="357"/>
      <c r="AO562" s="357"/>
      <c r="AP562" s="357"/>
      <c r="AQ562" s="357"/>
      <c r="AR562" s="357"/>
      <c r="AS562" s="357"/>
      <c r="AT562" s="357"/>
      <c r="AU562" s="357"/>
      <c r="AV562" s="357"/>
      <c r="AW562" s="357"/>
      <c r="AX562" s="357"/>
      <c r="AY562" s="357"/>
      <c r="AZ562" s="357"/>
      <c r="BA562" s="357"/>
      <c r="BB562" s="357"/>
      <c r="BC562" s="357"/>
      <c r="BD562" s="357"/>
    </row>
    <row r="563" spans="7:56">
      <c r="G563" s="357"/>
      <c r="H563" s="357"/>
      <c r="I563" s="357"/>
      <c r="J563" s="357"/>
      <c r="K563" s="357"/>
      <c r="L563" s="357"/>
      <c r="M563" s="357"/>
      <c r="N563" s="357"/>
      <c r="O563" s="357"/>
      <c r="P563" s="357"/>
      <c r="Q563" s="357"/>
      <c r="R563" s="357"/>
      <c r="S563" s="357"/>
      <c r="T563" s="357"/>
      <c r="U563" s="357"/>
      <c r="V563" s="357"/>
      <c r="W563" s="357"/>
      <c r="X563" s="357"/>
      <c r="Y563" s="357"/>
      <c r="Z563" s="357"/>
      <c r="AA563" s="357"/>
      <c r="AB563" s="357"/>
      <c r="AC563" s="357"/>
      <c r="AD563" s="357"/>
      <c r="AE563" s="357"/>
      <c r="AF563" s="357"/>
      <c r="AG563" s="357"/>
      <c r="AH563" s="357"/>
      <c r="AI563" s="357"/>
      <c r="AJ563" s="357"/>
      <c r="AK563" s="357"/>
      <c r="AL563" s="357"/>
      <c r="AM563" s="357"/>
      <c r="AN563" s="357"/>
      <c r="AO563" s="357"/>
      <c r="AP563" s="357"/>
      <c r="AQ563" s="357"/>
      <c r="AR563" s="357"/>
      <c r="AS563" s="357"/>
      <c r="AT563" s="357"/>
      <c r="AU563" s="357"/>
      <c r="AV563" s="357"/>
      <c r="AW563" s="357"/>
      <c r="AX563" s="357"/>
      <c r="AY563" s="357"/>
      <c r="AZ563" s="357"/>
      <c r="BA563" s="357"/>
      <c r="BB563" s="357"/>
      <c r="BC563" s="357"/>
      <c r="BD563" s="357"/>
    </row>
    <row r="564" spans="7:56">
      <c r="G564" s="357"/>
      <c r="H564" s="357"/>
      <c r="I564" s="357"/>
      <c r="J564" s="357"/>
      <c r="K564" s="357"/>
      <c r="L564" s="357"/>
      <c r="M564" s="357"/>
      <c r="N564" s="357"/>
      <c r="O564" s="357"/>
      <c r="P564" s="357"/>
      <c r="Q564" s="357"/>
      <c r="R564" s="357"/>
      <c r="S564" s="357"/>
      <c r="T564" s="357"/>
      <c r="U564" s="357"/>
      <c r="V564" s="357"/>
      <c r="W564" s="357"/>
      <c r="X564" s="357"/>
      <c r="Y564" s="357"/>
      <c r="Z564" s="357"/>
      <c r="AA564" s="357"/>
      <c r="AB564" s="357"/>
      <c r="AC564" s="357"/>
      <c r="AD564" s="357"/>
      <c r="AE564" s="357"/>
      <c r="AF564" s="357"/>
      <c r="AG564" s="357"/>
      <c r="AH564" s="357"/>
      <c r="AI564" s="357"/>
      <c r="AJ564" s="357"/>
      <c r="AK564" s="357"/>
      <c r="AL564" s="357"/>
      <c r="AM564" s="357"/>
      <c r="AN564" s="357"/>
      <c r="AO564" s="357"/>
      <c r="AP564" s="357"/>
      <c r="AQ564" s="357"/>
      <c r="AR564" s="357"/>
      <c r="AS564" s="357"/>
      <c r="AT564" s="357"/>
      <c r="AU564" s="357"/>
      <c r="AV564" s="357"/>
      <c r="AW564" s="357"/>
      <c r="AX564" s="357"/>
      <c r="AY564" s="357"/>
      <c r="AZ564" s="357"/>
      <c r="BA564" s="357"/>
      <c r="BB564" s="357"/>
      <c r="BC564" s="357"/>
      <c r="BD564" s="357"/>
    </row>
    <row r="565" spans="7:56">
      <c r="G565" s="357"/>
      <c r="H565" s="357"/>
      <c r="I565" s="357"/>
      <c r="J565" s="357"/>
      <c r="K565" s="357"/>
      <c r="L565" s="357"/>
      <c r="M565" s="357"/>
      <c r="N565" s="357"/>
      <c r="O565" s="357"/>
      <c r="P565" s="357"/>
      <c r="Q565" s="357"/>
      <c r="R565" s="357"/>
      <c r="S565" s="357"/>
      <c r="T565" s="357"/>
      <c r="U565" s="357"/>
      <c r="V565" s="357"/>
      <c r="W565" s="357"/>
      <c r="X565" s="357"/>
      <c r="Y565" s="357"/>
      <c r="Z565" s="357"/>
      <c r="AA565" s="357"/>
      <c r="AB565" s="357"/>
      <c r="AC565" s="357"/>
      <c r="AD565" s="357"/>
      <c r="AE565" s="357"/>
      <c r="AF565" s="357"/>
      <c r="AG565" s="357"/>
      <c r="AH565" s="357"/>
      <c r="AI565" s="357"/>
      <c r="AJ565" s="357"/>
      <c r="AK565" s="357"/>
      <c r="AL565" s="357"/>
      <c r="AM565" s="357"/>
      <c r="AN565" s="357"/>
      <c r="AO565" s="357"/>
      <c r="AP565" s="357"/>
      <c r="AQ565" s="357"/>
      <c r="AR565" s="357"/>
      <c r="AS565" s="357"/>
      <c r="AT565" s="357"/>
      <c r="AU565" s="357"/>
      <c r="AV565" s="357"/>
      <c r="AW565" s="357"/>
      <c r="AX565" s="357"/>
      <c r="AY565" s="357"/>
      <c r="AZ565" s="357"/>
      <c r="BA565" s="357"/>
      <c r="BB565" s="357"/>
      <c r="BC565" s="357"/>
      <c r="BD565" s="357"/>
    </row>
    <row r="566" spans="7:56">
      <c r="G566" s="357"/>
      <c r="H566" s="357"/>
      <c r="I566" s="357"/>
      <c r="J566" s="357"/>
      <c r="K566" s="357"/>
      <c r="L566" s="357"/>
      <c r="M566" s="357"/>
      <c r="N566" s="357"/>
      <c r="O566" s="357"/>
      <c r="P566" s="357"/>
      <c r="Q566" s="357"/>
      <c r="R566" s="357"/>
      <c r="S566" s="357"/>
      <c r="T566" s="357"/>
      <c r="U566" s="357"/>
      <c r="V566" s="357"/>
      <c r="W566" s="357"/>
      <c r="X566" s="357"/>
      <c r="Y566" s="357"/>
      <c r="Z566" s="357"/>
      <c r="AA566" s="357"/>
      <c r="AB566" s="357"/>
      <c r="AC566" s="357"/>
      <c r="AD566" s="357"/>
      <c r="AE566" s="357"/>
      <c r="AF566" s="357"/>
      <c r="AG566" s="357"/>
      <c r="AH566" s="357"/>
      <c r="AI566" s="357"/>
      <c r="AJ566" s="357"/>
      <c r="AK566" s="357"/>
      <c r="AL566" s="357"/>
      <c r="AM566" s="357"/>
      <c r="AN566" s="357"/>
      <c r="AO566" s="357"/>
      <c r="AP566" s="357"/>
      <c r="AQ566" s="357"/>
      <c r="AR566" s="357"/>
      <c r="AS566" s="357"/>
      <c r="AT566" s="357"/>
      <c r="AU566" s="357"/>
      <c r="AV566" s="357"/>
      <c r="AW566" s="357"/>
      <c r="AX566" s="357"/>
      <c r="AY566" s="357"/>
      <c r="AZ566" s="357"/>
      <c r="BA566" s="357"/>
      <c r="BB566" s="357"/>
      <c r="BC566" s="357"/>
      <c r="BD566" s="357"/>
    </row>
    <row r="567" spans="7:56">
      <c r="G567" s="357"/>
      <c r="H567" s="357"/>
      <c r="I567" s="357"/>
      <c r="J567" s="357"/>
      <c r="K567" s="357"/>
      <c r="L567" s="357"/>
      <c r="M567" s="357"/>
      <c r="N567" s="357"/>
      <c r="O567" s="357"/>
      <c r="P567" s="357"/>
      <c r="Q567" s="357"/>
      <c r="R567" s="357"/>
      <c r="S567" s="357"/>
      <c r="T567" s="357"/>
      <c r="U567" s="357"/>
      <c r="V567" s="357"/>
      <c r="W567" s="357"/>
      <c r="X567" s="357"/>
      <c r="Y567" s="357"/>
      <c r="Z567" s="357"/>
      <c r="AA567" s="357"/>
      <c r="AB567" s="357"/>
      <c r="AC567" s="357"/>
      <c r="AD567" s="357"/>
      <c r="AE567" s="357"/>
      <c r="AF567" s="357"/>
      <c r="AG567" s="357"/>
      <c r="AH567" s="357"/>
      <c r="AI567" s="357"/>
      <c r="AJ567" s="357"/>
      <c r="AK567" s="357"/>
      <c r="AL567" s="357"/>
      <c r="AM567" s="357"/>
      <c r="AN567" s="357"/>
      <c r="AO567" s="357"/>
      <c r="AP567" s="357"/>
      <c r="AQ567" s="357"/>
      <c r="AR567" s="357"/>
      <c r="AS567" s="357"/>
      <c r="AT567" s="357"/>
      <c r="AU567" s="357"/>
      <c r="AV567" s="357"/>
      <c r="AW567" s="357"/>
      <c r="AX567" s="357"/>
      <c r="AY567" s="357"/>
      <c r="AZ567" s="357"/>
      <c r="BA567" s="357"/>
      <c r="BB567" s="357"/>
      <c r="BC567" s="357"/>
      <c r="BD567" s="357"/>
    </row>
    <row r="568" spans="7:56">
      <c r="G568" s="357"/>
      <c r="H568" s="357"/>
      <c r="I568" s="357"/>
      <c r="J568" s="357"/>
      <c r="K568" s="357"/>
      <c r="L568" s="357"/>
      <c r="M568" s="357"/>
      <c r="N568" s="357"/>
      <c r="O568" s="357"/>
      <c r="P568" s="357"/>
      <c r="Q568" s="357"/>
      <c r="R568" s="357"/>
      <c r="S568" s="357"/>
      <c r="T568" s="357"/>
      <c r="U568" s="357"/>
      <c r="V568" s="357"/>
      <c r="W568" s="357"/>
      <c r="X568" s="357"/>
      <c r="Y568" s="357"/>
      <c r="Z568" s="357"/>
      <c r="AA568" s="357"/>
      <c r="AB568" s="357"/>
      <c r="AC568" s="357"/>
      <c r="AD568" s="357"/>
      <c r="AE568" s="357"/>
      <c r="AF568" s="357"/>
      <c r="AG568" s="357"/>
      <c r="AH568" s="357"/>
      <c r="AI568" s="357"/>
      <c r="AJ568" s="357"/>
      <c r="AK568" s="357"/>
      <c r="AL568" s="357"/>
      <c r="AM568" s="357"/>
      <c r="AN568" s="357"/>
      <c r="AO568" s="357"/>
      <c r="AP568" s="357"/>
      <c r="AQ568" s="357"/>
      <c r="AR568" s="357"/>
      <c r="AS568" s="357"/>
      <c r="AT568" s="357"/>
      <c r="AU568" s="357"/>
      <c r="AV568" s="357"/>
      <c r="AW568" s="357"/>
      <c r="AX568" s="357"/>
      <c r="AY568" s="357"/>
      <c r="AZ568" s="357"/>
      <c r="BA568" s="357"/>
      <c r="BB568" s="357"/>
      <c r="BC568" s="357"/>
      <c r="BD568" s="357"/>
    </row>
    <row r="569" spans="7:56">
      <c r="G569" s="357"/>
      <c r="H569" s="357"/>
      <c r="I569" s="357"/>
      <c r="J569" s="357"/>
      <c r="K569" s="357"/>
      <c r="L569" s="357"/>
      <c r="M569" s="357"/>
      <c r="N569" s="357"/>
      <c r="O569" s="357"/>
      <c r="P569" s="357"/>
      <c r="Q569" s="357"/>
      <c r="R569" s="357"/>
      <c r="S569" s="357"/>
      <c r="T569" s="357"/>
      <c r="U569" s="357"/>
      <c r="V569" s="357"/>
      <c r="W569" s="357"/>
      <c r="X569" s="357"/>
      <c r="Y569" s="357"/>
      <c r="Z569" s="357"/>
      <c r="AA569" s="357"/>
      <c r="AB569" s="357"/>
      <c r="AC569" s="357"/>
      <c r="AD569" s="357"/>
      <c r="AE569" s="357"/>
      <c r="AF569" s="357"/>
      <c r="AG569" s="357"/>
      <c r="AH569" s="357"/>
      <c r="AI569" s="357"/>
      <c r="AJ569" s="357"/>
      <c r="AK569" s="357"/>
      <c r="AL569" s="357"/>
      <c r="AM569" s="357"/>
      <c r="AN569" s="357"/>
      <c r="AO569" s="357"/>
      <c r="AP569" s="357"/>
      <c r="AQ569" s="357"/>
      <c r="AR569" s="357"/>
      <c r="AS569" s="357"/>
      <c r="AT569" s="357"/>
      <c r="AU569" s="357"/>
      <c r="AV569" s="357"/>
      <c r="AW569" s="357"/>
      <c r="AX569" s="357"/>
      <c r="AY569" s="357"/>
      <c r="AZ569" s="357"/>
      <c r="BA569" s="357"/>
      <c r="BB569" s="357"/>
      <c r="BC569" s="357"/>
      <c r="BD569" s="357"/>
    </row>
    <row r="570" spans="7:56">
      <c r="G570" s="357"/>
      <c r="H570" s="357"/>
      <c r="I570" s="357"/>
      <c r="J570" s="357"/>
      <c r="K570" s="357"/>
      <c r="L570" s="357"/>
      <c r="M570" s="357"/>
      <c r="N570" s="357"/>
      <c r="O570" s="357"/>
      <c r="P570" s="357"/>
      <c r="Q570" s="357"/>
      <c r="R570" s="357"/>
      <c r="S570" s="357"/>
      <c r="T570" s="357"/>
      <c r="U570" s="357"/>
      <c r="V570" s="357"/>
      <c r="W570" s="357"/>
      <c r="X570" s="357"/>
      <c r="Y570" s="357"/>
      <c r="Z570" s="357"/>
      <c r="AA570" s="357"/>
      <c r="AB570" s="357"/>
      <c r="AC570" s="357"/>
      <c r="AD570" s="357"/>
      <c r="AE570" s="357"/>
      <c r="AF570" s="357"/>
      <c r="AG570" s="357"/>
      <c r="AH570" s="357"/>
      <c r="AI570" s="357"/>
      <c r="AJ570" s="357"/>
      <c r="AK570" s="357"/>
      <c r="AL570" s="357"/>
      <c r="AM570" s="357"/>
      <c r="AN570" s="357"/>
      <c r="AO570" s="357"/>
      <c r="AP570" s="357"/>
      <c r="AQ570" s="357"/>
      <c r="AR570" s="357"/>
      <c r="AS570" s="357"/>
      <c r="AT570" s="357"/>
      <c r="AU570" s="357"/>
      <c r="AV570" s="357"/>
      <c r="AW570" s="357"/>
      <c r="AX570" s="357"/>
      <c r="AY570" s="357"/>
      <c r="AZ570" s="357"/>
      <c r="BA570" s="357"/>
      <c r="BB570" s="357"/>
      <c r="BC570" s="357"/>
      <c r="BD570" s="357"/>
    </row>
    <row r="571" spans="7:56">
      <c r="G571" s="357"/>
      <c r="H571" s="357"/>
      <c r="I571" s="357"/>
      <c r="J571" s="357"/>
      <c r="K571" s="357"/>
      <c r="L571" s="357"/>
      <c r="M571" s="357"/>
      <c r="N571" s="357"/>
      <c r="O571" s="357"/>
      <c r="P571" s="357"/>
      <c r="Q571" s="357"/>
      <c r="R571" s="357"/>
      <c r="S571" s="357"/>
      <c r="T571" s="357"/>
      <c r="U571" s="357"/>
      <c r="V571" s="357"/>
      <c r="W571" s="357"/>
      <c r="X571" s="357"/>
      <c r="Y571" s="357"/>
      <c r="Z571" s="357"/>
      <c r="AA571" s="357"/>
      <c r="AB571" s="357"/>
      <c r="AC571" s="357"/>
      <c r="AD571" s="357"/>
      <c r="AE571" s="357"/>
      <c r="AF571" s="357"/>
      <c r="AG571" s="357"/>
      <c r="AH571" s="357"/>
      <c r="AI571" s="357"/>
      <c r="AJ571" s="357"/>
      <c r="AK571" s="357"/>
      <c r="AL571" s="357"/>
      <c r="AM571" s="357"/>
      <c r="AN571" s="357"/>
      <c r="AO571" s="357"/>
      <c r="AP571" s="357"/>
      <c r="AQ571" s="357"/>
      <c r="AR571" s="357"/>
      <c r="AS571" s="357"/>
      <c r="AT571" s="357"/>
      <c r="AU571" s="357"/>
      <c r="AV571" s="357"/>
      <c r="AW571" s="357"/>
      <c r="AX571" s="357"/>
      <c r="AY571" s="357"/>
      <c r="AZ571" s="357"/>
      <c r="BA571" s="357"/>
      <c r="BB571" s="357"/>
      <c r="BC571" s="357"/>
      <c r="BD571" s="357"/>
    </row>
    <row r="572" spans="7:56">
      <c r="G572" s="357"/>
      <c r="H572" s="357"/>
      <c r="I572" s="357"/>
      <c r="J572" s="357"/>
      <c r="K572" s="357"/>
      <c r="L572" s="357"/>
      <c r="M572" s="357"/>
      <c r="N572" s="357"/>
      <c r="O572" s="357"/>
      <c r="P572" s="357"/>
      <c r="Q572" s="357"/>
      <c r="R572" s="357"/>
      <c r="S572" s="357"/>
      <c r="T572" s="357"/>
      <c r="U572" s="357"/>
      <c r="V572" s="357"/>
      <c r="W572" s="357"/>
      <c r="X572" s="357"/>
      <c r="Y572" s="357"/>
      <c r="Z572" s="357"/>
      <c r="AA572" s="357"/>
      <c r="AB572" s="357"/>
      <c r="AC572" s="357"/>
      <c r="AD572" s="357"/>
      <c r="AE572" s="357"/>
      <c r="AF572" s="357"/>
      <c r="AG572" s="357"/>
      <c r="AH572" s="357"/>
      <c r="AI572" s="357"/>
      <c r="AJ572" s="357"/>
      <c r="AK572" s="357"/>
      <c r="AL572" s="357"/>
      <c r="AM572" s="357"/>
      <c r="AN572" s="357"/>
      <c r="AO572" s="357"/>
      <c r="AP572" s="357"/>
      <c r="AQ572" s="357"/>
      <c r="AR572" s="357"/>
      <c r="AS572" s="357"/>
      <c r="AT572" s="357"/>
      <c r="AU572" s="357"/>
      <c r="AV572" s="357"/>
      <c r="AW572" s="357"/>
      <c r="AX572" s="357"/>
      <c r="AY572" s="357"/>
      <c r="AZ572" s="357"/>
      <c r="BA572" s="357"/>
      <c r="BB572" s="357"/>
      <c r="BC572" s="357"/>
      <c r="BD572" s="357"/>
    </row>
    <row r="573" spans="7:56">
      <c r="G573" s="357"/>
      <c r="H573" s="357"/>
      <c r="I573" s="357"/>
      <c r="J573" s="357"/>
      <c r="K573" s="357"/>
      <c r="L573" s="357"/>
      <c r="M573" s="357"/>
      <c r="N573" s="357"/>
      <c r="O573" s="357"/>
      <c r="P573" s="357"/>
      <c r="Q573" s="357"/>
      <c r="R573" s="357"/>
      <c r="S573" s="357"/>
      <c r="T573" s="357"/>
      <c r="U573" s="357"/>
      <c r="V573" s="357"/>
      <c r="W573" s="357"/>
      <c r="X573" s="357"/>
      <c r="Y573" s="357"/>
      <c r="Z573" s="357"/>
      <c r="AA573" s="357"/>
      <c r="AB573" s="357"/>
      <c r="AC573" s="357"/>
      <c r="AD573" s="357"/>
      <c r="AE573" s="357"/>
      <c r="AF573" s="357"/>
      <c r="AG573" s="357"/>
      <c r="AH573" s="357"/>
      <c r="AI573" s="357"/>
      <c r="AJ573" s="357"/>
      <c r="AK573" s="357"/>
      <c r="AL573" s="357"/>
      <c r="AM573" s="357"/>
      <c r="AN573" s="357"/>
      <c r="AO573" s="357"/>
      <c r="AP573" s="357"/>
      <c r="AQ573" s="357"/>
      <c r="AR573" s="357"/>
      <c r="AS573" s="357"/>
      <c r="AT573" s="357"/>
      <c r="AU573" s="357"/>
      <c r="AV573" s="357"/>
      <c r="AW573" s="357"/>
      <c r="AX573" s="357"/>
      <c r="AY573" s="357"/>
      <c r="AZ573" s="357"/>
      <c r="BA573" s="357"/>
      <c r="BB573" s="357"/>
      <c r="BC573" s="357"/>
      <c r="BD573" s="357"/>
    </row>
    <row r="574" spans="7:56">
      <c r="G574" s="357"/>
      <c r="H574" s="357"/>
      <c r="I574" s="357"/>
      <c r="J574" s="357"/>
      <c r="K574" s="357"/>
      <c r="L574" s="357"/>
      <c r="M574" s="357"/>
      <c r="N574" s="357"/>
      <c r="O574" s="357"/>
      <c r="P574" s="357"/>
      <c r="Q574" s="357"/>
      <c r="R574" s="357"/>
      <c r="S574" s="357"/>
      <c r="T574" s="357"/>
      <c r="U574" s="357"/>
      <c r="V574" s="357"/>
      <c r="W574" s="357"/>
      <c r="X574" s="357"/>
      <c r="Y574" s="357"/>
      <c r="Z574" s="357"/>
      <c r="AA574" s="357"/>
      <c r="AB574" s="357"/>
      <c r="AC574" s="357"/>
      <c r="AD574" s="357"/>
      <c r="AE574" s="357"/>
      <c r="AF574" s="357"/>
      <c r="AG574" s="357"/>
      <c r="AH574" s="357"/>
      <c r="AI574" s="357"/>
      <c r="AJ574" s="357"/>
      <c r="AK574" s="357"/>
      <c r="AL574" s="357"/>
      <c r="AM574" s="357"/>
      <c r="AN574" s="357"/>
      <c r="AO574" s="357"/>
      <c r="AP574" s="357"/>
      <c r="AQ574" s="357"/>
      <c r="AR574" s="357"/>
      <c r="AS574" s="357"/>
      <c r="AT574" s="357"/>
      <c r="AU574" s="357"/>
      <c r="AV574" s="357"/>
      <c r="AW574" s="357"/>
      <c r="AX574" s="357"/>
      <c r="AY574" s="357"/>
      <c r="AZ574" s="357"/>
      <c r="BA574" s="357"/>
      <c r="BB574" s="357"/>
      <c r="BC574" s="357"/>
      <c r="BD574" s="357"/>
    </row>
    <row r="575" spans="7:56">
      <c r="G575" s="357"/>
      <c r="H575" s="357"/>
      <c r="I575" s="357"/>
      <c r="J575" s="357"/>
      <c r="K575" s="357"/>
      <c r="L575" s="357"/>
      <c r="M575" s="357"/>
      <c r="N575" s="357"/>
      <c r="O575" s="357"/>
      <c r="P575" s="357"/>
      <c r="Q575" s="357"/>
      <c r="R575" s="357"/>
      <c r="S575" s="357"/>
      <c r="T575" s="357"/>
      <c r="U575" s="357"/>
      <c r="V575" s="357"/>
      <c r="W575" s="357"/>
      <c r="X575" s="357"/>
      <c r="Y575" s="357"/>
      <c r="Z575" s="357"/>
      <c r="AA575" s="357"/>
      <c r="AB575" s="357"/>
      <c r="AC575" s="357"/>
      <c r="AD575" s="357"/>
      <c r="AE575" s="357"/>
      <c r="AF575" s="357"/>
      <c r="AG575" s="357"/>
      <c r="AH575" s="357"/>
      <c r="AI575" s="357"/>
      <c r="AJ575" s="357"/>
      <c r="AK575" s="357"/>
      <c r="AL575" s="357"/>
      <c r="AM575" s="357"/>
      <c r="AN575" s="357"/>
      <c r="AO575" s="357"/>
      <c r="AP575" s="357"/>
      <c r="AQ575" s="357"/>
      <c r="AR575" s="357"/>
      <c r="AS575" s="357"/>
      <c r="AT575" s="357"/>
      <c r="AU575" s="357"/>
      <c r="AV575" s="357"/>
      <c r="AW575" s="357"/>
      <c r="AX575" s="357"/>
      <c r="AY575" s="357"/>
      <c r="AZ575" s="357"/>
      <c r="BA575" s="357"/>
      <c r="BB575" s="357"/>
      <c r="BC575" s="357"/>
      <c r="BD575" s="357"/>
    </row>
    <row r="576" spans="7:56">
      <c r="G576" s="357"/>
      <c r="H576" s="357"/>
      <c r="I576" s="357"/>
      <c r="J576" s="357"/>
      <c r="K576" s="357"/>
      <c r="L576" s="357"/>
      <c r="M576" s="357"/>
      <c r="N576" s="357"/>
      <c r="O576" s="357"/>
      <c r="P576" s="357"/>
      <c r="Q576" s="357"/>
      <c r="R576" s="357"/>
      <c r="S576" s="357"/>
      <c r="T576" s="357"/>
      <c r="U576" s="357"/>
      <c r="V576" s="357"/>
      <c r="W576" s="357"/>
      <c r="X576" s="357"/>
      <c r="Y576" s="357"/>
      <c r="Z576" s="357"/>
      <c r="AA576" s="357"/>
      <c r="AB576" s="357"/>
      <c r="AC576" s="357"/>
      <c r="AD576" s="357"/>
      <c r="AE576" s="357"/>
      <c r="AF576" s="357"/>
      <c r="AG576" s="357"/>
      <c r="AH576" s="357"/>
      <c r="AI576" s="357"/>
      <c r="AJ576" s="357"/>
      <c r="AK576" s="357"/>
      <c r="AL576" s="357"/>
      <c r="AM576" s="357"/>
      <c r="AN576" s="357"/>
      <c r="AO576" s="357"/>
      <c r="AP576" s="357"/>
      <c r="AQ576" s="357"/>
      <c r="AR576" s="357"/>
      <c r="AS576" s="357"/>
      <c r="AT576" s="357"/>
      <c r="AU576" s="357"/>
      <c r="AV576" s="357"/>
      <c r="AW576" s="357"/>
      <c r="AX576" s="357"/>
      <c r="AY576" s="357"/>
      <c r="AZ576" s="357"/>
      <c r="BA576" s="357"/>
      <c r="BB576" s="357"/>
      <c r="BC576" s="357"/>
      <c r="BD576" s="357"/>
    </row>
    <row r="577" spans="7:56">
      <c r="G577" s="357"/>
      <c r="H577" s="357"/>
      <c r="I577" s="357"/>
      <c r="J577" s="357"/>
      <c r="K577" s="357"/>
      <c r="L577" s="357"/>
      <c r="M577" s="357"/>
      <c r="N577" s="357"/>
      <c r="O577" s="357"/>
      <c r="P577" s="357"/>
      <c r="Q577" s="357"/>
      <c r="R577" s="357"/>
      <c r="S577" s="357"/>
      <c r="T577" s="357"/>
      <c r="U577" s="357"/>
      <c r="V577" s="357"/>
      <c r="W577" s="357"/>
      <c r="X577" s="357"/>
      <c r="Y577" s="357"/>
      <c r="Z577" s="357"/>
      <c r="AA577" s="357"/>
      <c r="AB577" s="357"/>
      <c r="AC577" s="357"/>
      <c r="AD577" s="357"/>
      <c r="AE577" s="357"/>
      <c r="AF577" s="357"/>
      <c r="AG577" s="357"/>
      <c r="AH577" s="357"/>
      <c r="AI577" s="357"/>
      <c r="AJ577" s="357"/>
      <c r="AK577" s="357"/>
      <c r="AL577" s="357"/>
      <c r="AM577" s="357"/>
      <c r="AN577" s="357"/>
      <c r="AO577" s="357"/>
      <c r="AP577" s="357"/>
      <c r="AQ577" s="357"/>
      <c r="AR577" s="357"/>
      <c r="AS577" s="357"/>
      <c r="AT577" s="357"/>
      <c r="AU577" s="357"/>
      <c r="AV577" s="357"/>
      <c r="AW577" s="357"/>
      <c r="AX577" s="357"/>
      <c r="AY577" s="357"/>
      <c r="AZ577" s="357"/>
      <c r="BA577" s="357"/>
      <c r="BB577" s="357"/>
      <c r="BC577" s="357"/>
      <c r="BD577" s="357"/>
    </row>
    <row r="578" spans="7:56">
      <c r="G578" s="357"/>
      <c r="H578" s="357"/>
      <c r="I578" s="357"/>
      <c r="J578" s="357"/>
      <c r="K578" s="357"/>
      <c r="L578" s="357"/>
      <c r="M578" s="357"/>
      <c r="N578" s="357"/>
      <c r="O578" s="357"/>
      <c r="P578" s="357"/>
      <c r="Q578" s="357"/>
      <c r="R578" s="357"/>
      <c r="S578" s="357"/>
      <c r="T578" s="357"/>
      <c r="U578" s="357"/>
      <c r="V578" s="357"/>
      <c r="W578" s="357"/>
      <c r="X578" s="357"/>
      <c r="Y578" s="357"/>
      <c r="Z578" s="357"/>
      <c r="AA578" s="357"/>
      <c r="AB578" s="357"/>
      <c r="AC578" s="357"/>
      <c r="AD578" s="357"/>
      <c r="AE578" s="357"/>
      <c r="AF578" s="357"/>
      <c r="AG578" s="357"/>
      <c r="AH578" s="357"/>
      <c r="AI578" s="357"/>
      <c r="AJ578" s="357"/>
      <c r="AK578" s="357"/>
      <c r="AL578" s="357"/>
      <c r="AM578" s="357"/>
      <c r="AN578" s="357"/>
      <c r="AO578" s="357"/>
      <c r="AP578" s="357"/>
      <c r="AQ578" s="357"/>
      <c r="AR578" s="357"/>
      <c r="AS578" s="357"/>
      <c r="AT578" s="357"/>
      <c r="AU578" s="357"/>
      <c r="AV578" s="357"/>
      <c r="AW578" s="357"/>
      <c r="AX578" s="357"/>
      <c r="AY578" s="357"/>
      <c r="AZ578" s="357"/>
      <c r="BA578" s="357"/>
      <c r="BB578" s="357"/>
      <c r="BC578" s="357"/>
      <c r="BD578" s="357"/>
    </row>
    <row r="579" spans="7:56">
      <c r="G579" s="357"/>
      <c r="H579" s="357"/>
      <c r="I579" s="357"/>
      <c r="J579" s="357"/>
      <c r="K579" s="357"/>
      <c r="L579" s="357"/>
      <c r="M579" s="357"/>
      <c r="N579" s="357"/>
      <c r="O579" s="357"/>
      <c r="P579" s="357"/>
      <c r="Q579" s="357"/>
      <c r="R579" s="357"/>
      <c r="S579" s="357"/>
      <c r="T579" s="357"/>
      <c r="U579" s="357"/>
      <c r="V579" s="357"/>
      <c r="W579" s="357"/>
      <c r="X579" s="357"/>
      <c r="Y579" s="357"/>
      <c r="Z579" s="357"/>
      <c r="AA579" s="357"/>
      <c r="AB579" s="357"/>
      <c r="AC579" s="357"/>
      <c r="AD579" s="357"/>
      <c r="AE579" s="357"/>
      <c r="AF579" s="357"/>
      <c r="AG579" s="357"/>
      <c r="AH579" s="357"/>
      <c r="AI579" s="357"/>
      <c r="AJ579" s="357"/>
      <c r="AK579" s="357"/>
      <c r="AL579" s="357"/>
      <c r="AM579" s="357"/>
      <c r="AN579" s="357"/>
      <c r="AO579" s="357"/>
      <c r="AP579" s="357"/>
      <c r="AQ579" s="357"/>
      <c r="AR579" s="357"/>
      <c r="AS579" s="357"/>
      <c r="AT579" s="357"/>
      <c r="AU579" s="357"/>
      <c r="AV579" s="357"/>
      <c r="AW579" s="357"/>
      <c r="AX579" s="357"/>
      <c r="AY579" s="357"/>
      <c r="AZ579" s="357"/>
      <c r="BA579" s="357"/>
      <c r="BB579" s="357"/>
      <c r="BC579" s="357"/>
      <c r="BD579" s="357"/>
    </row>
    <row r="580" spans="7:56">
      <c r="G580" s="357"/>
      <c r="H580" s="357"/>
      <c r="I580" s="357"/>
      <c r="J580" s="357"/>
      <c r="K580" s="357"/>
      <c r="L580" s="357"/>
      <c r="M580" s="357"/>
      <c r="N580" s="357"/>
      <c r="O580" s="357"/>
      <c r="P580" s="357"/>
      <c r="Q580" s="357"/>
      <c r="R580" s="357"/>
      <c r="S580" s="357"/>
      <c r="T580" s="357"/>
      <c r="U580" s="357"/>
      <c r="V580" s="357"/>
      <c r="W580" s="357"/>
      <c r="X580" s="357"/>
      <c r="Y580" s="357"/>
      <c r="Z580" s="357"/>
      <c r="AA580" s="357"/>
      <c r="AB580" s="357"/>
      <c r="AC580" s="357"/>
      <c r="AD580" s="357"/>
      <c r="AE580" s="357"/>
      <c r="AF580" s="357"/>
      <c r="AG580" s="357"/>
      <c r="AH580" s="357"/>
      <c r="AI580" s="357"/>
      <c r="AJ580" s="357"/>
      <c r="AK580" s="357"/>
      <c r="AL580" s="357"/>
      <c r="AM580" s="357"/>
      <c r="AN580" s="357"/>
      <c r="AO580" s="357"/>
      <c r="AP580" s="357"/>
      <c r="AQ580" s="357"/>
      <c r="AR580" s="357"/>
      <c r="AS580" s="357"/>
      <c r="AT580" s="357"/>
      <c r="AU580" s="357"/>
      <c r="AV580" s="357"/>
      <c r="AW580" s="357"/>
      <c r="AX580" s="357"/>
      <c r="AY580" s="357"/>
      <c r="AZ580" s="357"/>
      <c r="BA580" s="357"/>
      <c r="BB580" s="357"/>
      <c r="BC580" s="357"/>
      <c r="BD580" s="357"/>
    </row>
    <row r="581" spans="7:56">
      <c r="G581" s="357"/>
      <c r="H581" s="357"/>
      <c r="I581" s="357"/>
      <c r="J581" s="357"/>
      <c r="K581" s="357"/>
      <c r="L581" s="357"/>
      <c r="M581" s="357"/>
      <c r="N581" s="357"/>
      <c r="O581" s="357"/>
      <c r="P581" s="357"/>
      <c r="Q581" s="357"/>
      <c r="R581" s="357"/>
      <c r="S581" s="357"/>
      <c r="T581" s="357"/>
      <c r="U581" s="357"/>
      <c r="V581" s="357"/>
      <c r="W581" s="357"/>
      <c r="X581" s="357"/>
      <c r="Y581" s="357"/>
      <c r="Z581" s="357"/>
      <c r="AA581" s="357"/>
      <c r="AB581" s="357"/>
      <c r="AC581" s="357"/>
      <c r="AD581" s="357"/>
      <c r="AE581" s="357"/>
      <c r="AF581" s="357"/>
      <c r="AG581" s="357"/>
      <c r="AH581" s="357"/>
      <c r="AI581" s="357"/>
      <c r="AJ581" s="357"/>
      <c r="AK581" s="357"/>
      <c r="AL581" s="357"/>
      <c r="AM581" s="357"/>
      <c r="AN581" s="357"/>
      <c r="AO581" s="357"/>
      <c r="AP581" s="357"/>
      <c r="AQ581" s="357"/>
      <c r="AR581" s="357"/>
      <c r="AS581" s="357"/>
      <c r="AT581" s="357"/>
      <c r="AU581" s="357"/>
      <c r="AV581" s="357"/>
      <c r="AW581" s="357"/>
      <c r="AX581" s="357"/>
      <c r="AY581" s="357"/>
      <c r="AZ581" s="357"/>
      <c r="BA581" s="357"/>
      <c r="BB581" s="357"/>
      <c r="BC581" s="357"/>
      <c r="BD581" s="357"/>
    </row>
    <row r="582" spans="7:56">
      <c r="G582" s="357"/>
      <c r="H582" s="357"/>
      <c r="I582" s="357"/>
      <c r="J582" s="357"/>
      <c r="K582" s="357"/>
      <c r="L582" s="357"/>
      <c r="M582" s="357"/>
      <c r="N582" s="357"/>
      <c r="O582" s="357"/>
      <c r="P582" s="357"/>
      <c r="Q582" s="357"/>
      <c r="R582" s="357"/>
      <c r="S582" s="357"/>
      <c r="T582" s="357"/>
      <c r="U582" s="357"/>
      <c r="V582" s="357"/>
      <c r="W582" s="357"/>
      <c r="X582" s="357"/>
      <c r="Y582" s="357"/>
      <c r="Z582" s="357"/>
      <c r="AA582" s="357"/>
      <c r="AB582" s="357"/>
      <c r="AC582" s="357"/>
      <c r="AD582" s="357"/>
      <c r="AE582" s="357"/>
      <c r="AF582" s="357"/>
      <c r="AG582" s="357"/>
      <c r="AH582" s="357"/>
      <c r="AI582" s="357"/>
      <c r="AJ582" s="357"/>
      <c r="AK582" s="357"/>
      <c r="AL582" s="357"/>
      <c r="AM582" s="357"/>
      <c r="AN582" s="357"/>
      <c r="AO582" s="357"/>
      <c r="AP582" s="357"/>
      <c r="AQ582" s="357"/>
      <c r="AR582" s="357"/>
      <c r="AS582" s="357"/>
      <c r="AT582" s="357"/>
      <c r="AU582" s="357"/>
      <c r="AV582" s="357"/>
      <c r="AW582" s="357"/>
      <c r="AX582" s="357"/>
      <c r="AY582" s="357"/>
      <c r="AZ582" s="357"/>
      <c r="BA582" s="357"/>
      <c r="BB582" s="357"/>
      <c r="BC582" s="357"/>
      <c r="BD582" s="357"/>
    </row>
    <row r="583" spans="7:56">
      <c r="G583" s="357"/>
      <c r="H583" s="357"/>
      <c r="I583" s="357"/>
      <c r="J583" s="357"/>
      <c r="K583" s="357"/>
      <c r="L583" s="357"/>
      <c r="M583" s="357"/>
      <c r="N583" s="357"/>
      <c r="O583" s="357"/>
      <c r="P583" s="357"/>
      <c r="Q583" s="357"/>
      <c r="R583" s="357"/>
      <c r="S583" s="357"/>
      <c r="T583" s="357"/>
      <c r="U583" s="357"/>
      <c r="V583" s="357"/>
      <c r="W583" s="357"/>
      <c r="X583" s="357"/>
      <c r="Y583" s="357"/>
      <c r="Z583" s="357"/>
      <c r="AA583" s="357"/>
      <c r="AB583" s="357"/>
      <c r="AC583" s="357"/>
      <c r="AD583" s="357"/>
      <c r="AE583" s="357"/>
      <c r="AF583" s="357"/>
      <c r="AG583" s="357"/>
      <c r="AH583" s="357"/>
      <c r="AI583" s="357"/>
      <c r="AJ583" s="357"/>
      <c r="AK583" s="357"/>
      <c r="AL583" s="357"/>
      <c r="AM583" s="357"/>
      <c r="AN583" s="357"/>
      <c r="AO583" s="357"/>
      <c r="AP583" s="357"/>
      <c r="AQ583" s="357"/>
      <c r="AR583" s="357"/>
      <c r="AS583" s="357"/>
      <c r="AT583" s="357"/>
      <c r="AU583" s="357"/>
      <c r="AV583" s="357"/>
      <c r="AW583" s="357"/>
      <c r="AX583" s="357"/>
      <c r="AY583" s="357"/>
      <c r="AZ583" s="357"/>
      <c r="BA583" s="357"/>
      <c r="BB583" s="357"/>
      <c r="BC583" s="357"/>
      <c r="BD583" s="357"/>
    </row>
    <row r="584" spans="7:56">
      <c r="G584" s="357"/>
      <c r="H584" s="357"/>
      <c r="I584" s="357"/>
      <c r="J584" s="357"/>
      <c r="K584" s="357"/>
      <c r="L584" s="357"/>
      <c r="M584" s="357"/>
      <c r="N584" s="357"/>
      <c r="O584" s="357"/>
      <c r="P584" s="357"/>
      <c r="Q584" s="357"/>
      <c r="R584" s="357"/>
      <c r="S584" s="357"/>
      <c r="T584" s="357"/>
      <c r="U584" s="357"/>
      <c r="V584" s="357"/>
      <c r="W584" s="357"/>
      <c r="X584" s="357"/>
      <c r="Y584" s="357"/>
      <c r="Z584" s="357"/>
      <c r="AA584" s="357"/>
      <c r="AB584" s="357"/>
      <c r="AC584" s="357"/>
      <c r="AD584" s="357"/>
      <c r="AE584" s="357"/>
      <c r="AF584" s="357"/>
      <c r="AG584" s="357"/>
      <c r="AH584" s="357"/>
      <c r="AI584" s="357"/>
      <c r="AJ584" s="357"/>
      <c r="AK584" s="357"/>
      <c r="AL584" s="357"/>
      <c r="AM584" s="357"/>
      <c r="AN584" s="357"/>
      <c r="AO584" s="357"/>
      <c r="AP584" s="357"/>
      <c r="AQ584" s="357"/>
      <c r="AR584" s="357"/>
      <c r="AS584" s="357"/>
      <c r="AT584" s="357"/>
      <c r="AU584" s="357"/>
      <c r="AV584" s="357"/>
      <c r="AW584" s="357"/>
      <c r="AX584" s="357"/>
      <c r="AY584" s="357"/>
      <c r="AZ584" s="357"/>
      <c r="BA584" s="357"/>
      <c r="BB584" s="357"/>
      <c r="BC584" s="357"/>
      <c r="BD584" s="357"/>
    </row>
    <row r="585" spans="7:56">
      <c r="G585" s="357"/>
      <c r="H585" s="357"/>
      <c r="I585" s="357"/>
      <c r="J585" s="357"/>
      <c r="K585" s="357"/>
      <c r="L585" s="357"/>
      <c r="M585" s="357"/>
      <c r="N585" s="357"/>
      <c r="O585" s="357"/>
      <c r="P585" s="357"/>
      <c r="Q585" s="357"/>
      <c r="R585" s="357"/>
      <c r="S585" s="357"/>
      <c r="T585" s="357"/>
      <c r="U585" s="357"/>
      <c r="V585" s="357"/>
      <c r="W585" s="357"/>
      <c r="X585" s="357"/>
      <c r="Y585" s="357"/>
      <c r="Z585" s="357"/>
      <c r="AA585" s="357"/>
      <c r="AB585" s="357"/>
      <c r="AC585" s="357"/>
      <c r="AD585" s="357"/>
      <c r="AE585" s="357"/>
      <c r="AF585" s="357"/>
      <c r="AG585" s="357"/>
      <c r="AH585" s="357"/>
      <c r="AI585" s="357"/>
      <c r="AJ585" s="357"/>
      <c r="AK585" s="357"/>
      <c r="AL585" s="357"/>
      <c r="AM585" s="357"/>
      <c r="AN585" s="357"/>
      <c r="AO585" s="357"/>
      <c r="AP585" s="357"/>
      <c r="AQ585" s="357"/>
      <c r="AR585" s="357"/>
      <c r="AS585" s="357"/>
      <c r="AT585" s="357"/>
      <c r="AU585" s="357"/>
      <c r="AV585" s="357"/>
      <c r="AW585" s="357"/>
      <c r="AX585" s="357"/>
      <c r="AY585" s="357"/>
      <c r="AZ585" s="357"/>
      <c r="BA585" s="357"/>
      <c r="BB585" s="357"/>
      <c r="BC585" s="357"/>
      <c r="BD585" s="357"/>
    </row>
    <row r="586" spans="7:56">
      <c r="G586" s="357"/>
      <c r="H586" s="357"/>
      <c r="I586" s="357"/>
      <c r="J586" s="357"/>
      <c r="K586" s="357"/>
      <c r="L586" s="357"/>
      <c r="M586" s="357"/>
      <c r="N586" s="357"/>
      <c r="O586" s="357"/>
      <c r="P586" s="357"/>
      <c r="Q586" s="357"/>
      <c r="R586" s="357"/>
      <c r="S586" s="357"/>
      <c r="T586" s="357"/>
      <c r="U586" s="357"/>
      <c r="V586" s="357"/>
      <c r="W586" s="357"/>
      <c r="X586" s="357"/>
      <c r="Y586" s="357"/>
      <c r="Z586" s="357"/>
      <c r="AA586" s="357"/>
      <c r="AB586" s="357"/>
      <c r="AC586" s="357"/>
      <c r="AD586" s="357"/>
      <c r="AE586" s="357"/>
      <c r="AF586" s="357"/>
      <c r="AG586" s="357"/>
      <c r="AH586" s="357"/>
      <c r="AI586" s="357"/>
      <c r="AJ586" s="357"/>
      <c r="AK586" s="357"/>
      <c r="AL586" s="357"/>
      <c r="AM586" s="357"/>
      <c r="AN586" s="357"/>
      <c r="AO586" s="357"/>
      <c r="AP586" s="357"/>
      <c r="AQ586" s="357"/>
      <c r="AR586" s="357"/>
      <c r="AS586" s="357"/>
      <c r="AT586" s="357"/>
      <c r="AU586" s="357"/>
      <c r="AV586" s="357"/>
      <c r="AW586" s="357"/>
      <c r="AX586" s="357"/>
      <c r="AY586" s="357"/>
      <c r="AZ586" s="357"/>
      <c r="BA586" s="357"/>
      <c r="BB586" s="357"/>
      <c r="BC586" s="357"/>
      <c r="BD586" s="357"/>
    </row>
    <row r="587" spans="7:56">
      <c r="G587" s="357"/>
      <c r="H587" s="357"/>
      <c r="I587" s="357"/>
      <c r="J587" s="357"/>
      <c r="K587" s="357"/>
      <c r="L587" s="357"/>
      <c r="M587" s="357"/>
      <c r="N587" s="357"/>
      <c r="O587" s="357"/>
      <c r="P587" s="357"/>
      <c r="Q587" s="357"/>
      <c r="R587" s="357"/>
      <c r="S587" s="357"/>
      <c r="T587" s="357"/>
      <c r="U587" s="357"/>
      <c r="V587" s="357"/>
      <c r="W587" s="357"/>
      <c r="X587" s="357"/>
      <c r="Y587" s="357"/>
      <c r="Z587" s="357"/>
      <c r="AA587" s="357"/>
      <c r="AB587" s="357"/>
      <c r="AC587" s="357"/>
      <c r="AD587" s="357"/>
      <c r="AE587" s="357"/>
      <c r="AF587" s="357"/>
      <c r="AG587" s="357"/>
      <c r="AH587" s="357"/>
      <c r="AI587" s="357"/>
      <c r="AJ587" s="357"/>
      <c r="AK587" s="357"/>
      <c r="AL587" s="357"/>
      <c r="AM587" s="357"/>
      <c r="AN587" s="357"/>
      <c r="AO587" s="357"/>
      <c r="AP587" s="357"/>
      <c r="AQ587" s="357"/>
      <c r="AR587" s="357"/>
      <c r="AS587" s="357"/>
      <c r="AT587" s="357"/>
      <c r="AU587" s="357"/>
      <c r="AV587" s="357"/>
      <c r="AW587" s="357"/>
      <c r="AX587" s="357"/>
      <c r="AY587" s="357"/>
      <c r="AZ587" s="357"/>
      <c r="BA587" s="357"/>
      <c r="BB587" s="357"/>
      <c r="BC587" s="357"/>
      <c r="BD587" s="357"/>
    </row>
    <row r="588" spans="7:56">
      <c r="G588" s="357"/>
      <c r="H588" s="357"/>
      <c r="I588" s="357"/>
      <c r="J588" s="357"/>
      <c r="K588" s="357"/>
      <c r="L588" s="357"/>
      <c r="M588" s="357"/>
      <c r="N588" s="357"/>
      <c r="O588" s="357"/>
      <c r="P588" s="357"/>
      <c r="Q588" s="357"/>
      <c r="R588" s="357"/>
      <c r="S588" s="357"/>
      <c r="T588" s="357"/>
      <c r="U588" s="357"/>
      <c r="V588" s="357"/>
      <c r="W588" s="357"/>
      <c r="X588" s="357"/>
      <c r="Y588" s="357"/>
      <c r="Z588" s="357"/>
      <c r="AA588" s="357"/>
      <c r="AB588" s="357"/>
      <c r="AC588" s="357"/>
      <c r="AD588" s="357"/>
      <c r="AE588" s="357"/>
      <c r="AF588" s="357"/>
      <c r="AG588" s="357"/>
      <c r="AH588" s="357"/>
      <c r="AI588" s="357"/>
      <c r="AJ588" s="357"/>
      <c r="AK588" s="357"/>
      <c r="AL588" s="357"/>
      <c r="AM588" s="357"/>
      <c r="AN588" s="357"/>
      <c r="AO588" s="357"/>
      <c r="AP588" s="357"/>
      <c r="AQ588" s="357"/>
      <c r="AR588" s="357"/>
      <c r="AS588" s="357"/>
      <c r="AT588" s="357"/>
      <c r="AU588" s="357"/>
      <c r="AV588" s="357"/>
      <c r="AW588" s="357"/>
      <c r="AX588" s="357"/>
      <c r="AY588" s="357"/>
      <c r="AZ588" s="357"/>
      <c r="BA588" s="357"/>
      <c r="BB588" s="357"/>
      <c r="BC588" s="357"/>
      <c r="BD588" s="357"/>
    </row>
    <row r="589" spans="7:56">
      <c r="G589" s="357"/>
      <c r="H589" s="357"/>
      <c r="I589" s="357"/>
      <c r="J589" s="357"/>
      <c r="K589" s="357"/>
      <c r="L589" s="357"/>
      <c r="M589" s="357"/>
      <c r="N589" s="357"/>
      <c r="O589" s="357"/>
      <c r="P589" s="357"/>
      <c r="Q589" s="357"/>
      <c r="R589" s="357"/>
      <c r="S589" s="357"/>
      <c r="T589" s="357"/>
      <c r="U589" s="357"/>
      <c r="V589" s="357"/>
      <c r="W589" s="357"/>
      <c r="X589" s="357"/>
      <c r="Y589" s="357"/>
      <c r="Z589" s="357"/>
      <c r="AA589" s="357"/>
      <c r="AB589" s="357"/>
      <c r="AC589" s="357"/>
      <c r="AD589" s="357"/>
      <c r="AE589" s="357"/>
      <c r="AF589" s="357"/>
      <c r="AG589" s="357"/>
      <c r="AH589" s="357"/>
      <c r="AI589" s="357"/>
      <c r="AJ589" s="357"/>
      <c r="AK589" s="357"/>
      <c r="AL589" s="357"/>
      <c r="AM589" s="357"/>
      <c r="AN589" s="357"/>
      <c r="AO589" s="357"/>
      <c r="AP589" s="357"/>
      <c r="AQ589" s="357"/>
      <c r="AR589" s="357"/>
      <c r="AS589" s="357"/>
      <c r="AT589" s="357"/>
      <c r="AU589" s="357"/>
      <c r="AV589" s="357"/>
      <c r="AW589" s="357"/>
      <c r="AX589" s="357"/>
      <c r="AY589" s="357"/>
      <c r="AZ589" s="357"/>
      <c r="BA589" s="357"/>
      <c r="BB589" s="357"/>
      <c r="BC589" s="357"/>
      <c r="BD589" s="357"/>
    </row>
    <row r="590" spans="7:56">
      <c r="G590" s="357"/>
      <c r="H590" s="357"/>
      <c r="I590" s="357"/>
      <c r="J590" s="357"/>
      <c r="K590" s="357"/>
      <c r="L590" s="357"/>
      <c r="M590" s="357"/>
      <c r="N590" s="357"/>
      <c r="O590" s="357"/>
      <c r="P590" s="357"/>
      <c r="Q590" s="357"/>
      <c r="R590" s="357"/>
      <c r="S590" s="357"/>
      <c r="T590" s="357"/>
      <c r="U590" s="357"/>
      <c r="V590" s="357"/>
      <c r="W590" s="357"/>
      <c r="X590" s="357"/>
      <c r="Y590" s="357"/>
      <c r="Z590" s="357"/>
      <c r="AA590" s="357"/>
      <c r="AB590" s="357"/>
      <c r="AC590" s="357"/>
      <c r="AD590" s="357"/>
      <c r="AE590" s="357"/>
      <c r="AF590" s="357"/>
      <c r="AG590" s="357"/>
      <c r="AH590" s="357"/>
      <c r="AI590" s="357"/>
      <c r="AJ590" s="357"/>
      <c r="AK590" s="357"/>
      <c r="AL590" s="357"/>
      <c r="AM590" s="357"/>
      <c r="AN590" s="357"/>
      <c r="AO590" s="357"/>
      <c r="AP590" s="357"/>
      <c r="AQ590" s="357"/>
      <c r="AR590" s="357"/>
      <c r="AS590" s="357"/>
      <c r="AT590" s="357"/>
      <c r="AU590" s="357"/>
      <c r="AV590" s="357"/>
      <c r="AW590" s="357"/>
      <c r="AX590" s="357"/>
      <c r="AY590" s="357"/>
      <c r="AZ590" s="357"/>
      <c r="BA590" s="357"/>
      <c r="BB590" s="357"/>
      <c r="BC590" s="357"/>
      <c r="BD590" s="357"/>
    </row>
    <row r="591" spans="7:56">
      <c r="G591" s="357"/>
      <c r="H591" s="357"/>
      <c r="I591" s="357"/>
      <c r="J591" s="357"/>
      <c r="K591" s="357"/>
      <c r="L591" s="357"/>
      <c r="M591" s="357"/>
      <c r="N591" s="357"/>
      <c r="O591" s="357"/>
      <c r="P591" s="357"/>
      <c r="Q591" s="357"/>
      <c r="R591" s="357"/>
      <c r="S591" s="357"/>
      <c r="T591" s="357"/>
      <c r="U591" s="357"/>
      <c r="V591" s="357"/>
      <c r="W591" s="357"/>
      <c r="X591" s="357"/>
      <c r="Y591" s="357"/>
      <c r="Z591" s="357"/>
      <c r="AA591" s="357"/>
      <c r="AB591" s="357"/>
      <c r="AC591" s="357"/>
      <c r="AD591" s="357"/>
      <c r="AE591" s="357"/>
      <c r="AF591" s="357"/>
      <c r="AG591" s="357"/>
      <c r="AH591" s="357"/>
      <c r="AI591" s="357"/>
      <c r="AJ591" s="357"/>
      <c r="AK591" s="357"/>
      <c r="AL591" s="357"/>
      <c r="AM591" s="357"/>
      <c r="AN591" s="357"/>
      <c r="AO591" s="357"/>
      <c r="AP591" s="357"/>
      <c r="AQ591" s="357"/>
      <c r="AR591" s="357"/>
      <c r="AS591" s="357"/>
      <c r="AT591" s="357"/>
      <c r="AU591" s="357"/>
      <c r="AV591" s="357"/>
      <c r="AW591" s="357"/>
      <c r="AX591" s="357"/>
      <c r="AY591" s="357"/>
      <c r="AZ591" s="357"/>
      <c r="BA591" s="357"/>
      <c r="BB591" s="357"/>
      <c r="BC591" s="357"/>
      <c r="BD591" s="357"/>
    </row>
    <row r="592" spans="7:56">
      <c r="G592" s="357"/>
      <c r="H592" s="357"/>
      <c r="I592" s="357"/>
      <c r="J592" s="357"/>
      <c r="K592" s="357"/>
      <c r="L592" s="357"/>
      <c r="M592" s="357"/>
      <c r="N592" s="357"/>
      <c r="O592" s="357"/>
      <c r="P592" s="357"/>
      <c r="Q592" s="357"/>
      <c r="R592" s="357"/>
      <c r="S592" s="357"/>
      <c r="T592" s="357"/>
      <c r="U592" s="357"/>
      <c r="V592" s="357"/>
      <c r="W592" s="357"/>
      <c r="X592" s="357"/>
      <c r="Y592" s="357"/>
      <c r="Z592" s="357"/>
      <c r="AA592" s="357"/>
      <c r="AB592" s="357"/>
      <c r="AC592" s="357"/>
      <c r="AD592" s="357"/>
      <c r="AE592" s="357"/>
      <c r="AF592" s="357"/>
      <c r="AG592" s="357"/>
      <c r="AH592" s="357"/>
      <c r="AI592" s="357"/>
      <c r="AJ592" s="357"/>
      <c r="AK592" s="357"/>
      <c r="AL592" s="357"/>
      <c r="AM592" s="357"/>
      <c r="AN592" s="357"/>
      <c r="AO592" s="357"/>
      <c r="AP592" s="357"/>
      <c r="AQ592" s="357"/>
      <c r="AR592" s="357"/>
      <c r="AS592" s="357"/>
      <c r="AT592" s="357"/>
      <c r="AU592" s="357"/>
      <c r="AV592" s="357"/>
      <c r="AW592" s="357"/>
      <c r="AX592" s="357"/>
      <c r="AY592" s="357"/>
      <c r="AZ592" s="357"/>
      <c r="BA592" s="357"/>
      <c r="BB592" s="357"/>
      <c r="BC592" s="357"/>
      <c r="BD592" s="357"/>
    </row>
    <row r="593" spans="7:56">
      <c r="G593" s="357"/>
      <c r="H593" s="357"/>
      <c r="I593" s="357"/>
      <c r="J593" s="357"/>
      <c r="K593" s="357"/>
      <c r="L593" s="357"/>
      <c r="M593" s="357"/>
      <c r="N593" s="357"/>
      <c r="O593" s="357"/>
      <c r="P593" s="357"/>
      <c r="Q593" s="357"/>
      <c r="R593" s="357"/>
      <c r="S593" s="357"/>
      <c r="T593" s="357"/>
      <c r="U593" s="357"/>
      <c r="V593" s="357"/>
      <c r="W593" s="357"/>
      <c r="X593" s="357"/>
      <c r="Y593" s="357"/>
      <c r="Z593" s="357"/>
      <c r="AA593" s="357"/>
      <c r="AB593" s="357"/>
      <c r="AC593" s="357"/>
      <c r="AD593" s="357"/>
      <c r="AE593" s="357"/>
      <c r="AF593" s="357"/>
      <c r="AG593" s="357"/>
      <c r="AH593" s="357"/>
      <c r="AI593" s="357"/>
      <c r="AJ593" s="357"/>
      <c r="AK593" s="357"/>
      <c r="AL593" s="357"/>
      <c r="AM593" s="357"/>
      <c r="AN593" s="357"/>
      <c r="AO593" s="357"/>
      <c r="AP593" s="357"/>
      <c r="AQ593" s="357"/>
      <c r="AR593" s="357"/>
      <c r="AS593" s="357"/>
      <c r="AT593" s="357"/>
      <c r="AU593" s="357"/>
      <c r="AV593" s="357"/>
      <c r="AW593" s="357"/>
      <c r="AX593" s="357"/>
      <c r="AY593" s="357"/>
      <c r="AZ593" s="357"/>
      <c r="BA593" s="357"/>
      <c r="BB593" s="357"/>
      <c r="BC593" s="357"/>
      <c r="BD593" s="357"/>
    </row>
    <row r="594" spans="7:56">
      <c r="G594" s="357"/>
      <c r="H594" s="357"/>
      <c r="I594" s="357"/>
      <c r="J594" s="357"/>
      <c r="K594" s="357"/>
      <c r="L594" s="357"/>
      <c r="M594" s="357"/>
      <c r="N594" s="357"/>
      <c r="O594" s="357"/>
      <c r="P594" s="357"/>
      <c r="Q594" s="357"/>
      <c r="R594" s="357"/>
      <c r="S594" s="357"/>
      <c r="T594" s="357"/>
      <c r="U594" s="357"/>
      <c r="V594" s="357"/>
      <c r="W594" s="357"/>
      <c r="X594" s="357"/>
      <c r="Y594" s="357"/>
      <c r="Z594" s="357"/>
      <c r="AA594" s="357"/>
      <c r="AB594" s="357"/>
      <c r="AC594" s="357"/>
      <c r="AD594" s="357"/>
      <c r="AE594" s="357"/>
      <c r="AF594" s="357"/>
      <c r="AG594" s="357"/>
      <c r="AH594" s="357"/>
      <c r="AI594" s="357"/>
      <c r="AJ594" s="357"/>
      <c r="AK594" s="357"/>
      <c r="AL594" s="357"/>
      <c r="AM594" s="357"/>
      <c r="AN594" s="357"/>
      <c r="AO594" s="357"/>
      <c r="AP594" s="357"/>
      <c r="AQ594" s="357"/>
      <c r="AR594" s="357"/>
      <c r="AS594" s="357"/>
      <c r="AT594" s="357"/>
      <c r="AU594" s="357"/>
      <c r="AV594" s="357"/>
      <c r="AW594" s="357"/>
      <c r="AX594" s="357"/>
      <c r="AY594" s="357"/>
      <c r="AZ594" s="357"/>
      <c r="BA594" s="357"/>
      <c r="BB594" s="357"/>
      <c r="BC594" s="357"/>
      <c r="BD594" s="357"/>
    </row>
    <row r="595" spans="7:56">
      <c r="G595" s="357"/>
      <c r="H595" s="357"/>
      <c r="I595" s="357"/>
      <c r="J595" s="357"/>
      <c r="K595" s="357"/>
      <c r="L595" s="357"/>
      <c r="M595" s="357"/>
      <c r="N595" s="357"/>
      <c r="O595" s="357"/>
      <c r="P595" s="357"/>
      <c r="Q595" s="357"/>
      <c r="R595" s="357"/>
      <c r="S595" s="357"/>
      <c r="T595" s="357"/>
      <c r="U595" s="357"/>
      <c r="V595" s="357"/>
      <c r="W595" s="357"/>
      <c r="X595" s="357"/>
      <c r="Y595" s="357"/>
      <c r="Z595" s="357"/>
      <c r="AA595" s="357"/>
      <c r="AB595" s="357"/>
      <c r="AC595" s="357"/>
      <c r="AD595" s="357"/>
      <c r="AE595" s="357"/>
      <c r="AF595" s="357"/>
      <c r="AG595" s="357"/>
      <c r="AH595" s="357"/>
      <c r="AI595" s="357"/>
      <c r="AJ595" s="357"/>
      <c r="AK595" s="357"/>
      <c r="AL595" s="357"/>
      <c r="AM595" s="357"/>
      <c r="AN595" s="357"/>
      <c r="AO595" s="357"/>
      <c r="AP595" s="357"/>
      <c r="AQ595" s="357"/>
      <c r="AR595" s="357"/>
      <c r="AS595" s="357"/>
      <c r="AT595" s="357"/>
      <c r="AU595" s="357"/>
      <c r="AV595" s="357"/>
      <c r="AW595" s="357"/>
      <c r="AX595" s="357"/>
      <c r="AY595" s="357"/>
      <c r="AZ595" s="357"/>
      <c r="BA595" s="357"/>
      <c r="BB595" s="357"/>
      <c r="BC595" s="357"/>
      <c r="BD595" s="357"/>
    </row>
    <row r="596" spans="7:56">
      <c r="G596" s="357"/>
      <c r="H596" s="357"/>
      <c r="I596" s="357"/>
      <c r="J596" s="357"/>
      <c r="K596" s="357"/>
      <c r="L596" s="357"/>
      <c r="M596" s="357"/>
      <c r="N596" s="357"/>
      <c r="O596" s="357"/>
      <c r="P596" s="357"/>
      <c r="Q596" s="357"/>
      <c r="R596" s="357"/>
      <c r="S596" s="357"/>
      <c r="T596" s="357"/>
      <c r="U596" s="357"/>
      <c r="V596" s="357"/>
      <c r="W596" s="357"/>
      <c r="X596" s="357"/>
      <c r="Y596" s="357"/>
      <c r="Z596" s="357"/>
      <c r="AA596" s="357"/>
      <c r="AB596" s="357"/>
      <c r="AC596" s="357"/>
      <c r="AD596" s="357"/>
      <c r="AE596" s="357"/>
      <c r="AF596" s="357"/>
      <c r="AG596" s="357"/>
      <c r="AH596" s="357"/>
      <c r="AI596" s="357"/>
      <c r="AJ596" s="357"/>
      <c r="AK596" s="357"/>
      <c r="AL596" s="357"/>
      <c r="AM596" s="357"/>
      <c r="AN596" s="357"/>
      <c r="AO596" s="357"/>
      <c r="AP596" s="357"/>
      <c r="AQ596" s="357"/>
      <c r="AR596" s="357"/>
      <c r="AS596" s="357"/>
      <c r="AT596" s="357"/>
      <c r="AU596" s="357"/>
      <c r="AV596" s="357"/>
      <c r="AW596" s="357"/>
      <c r="AX596" s="357"/>
      <c r="AY596" s="357"/>
      <c r="AZ596" s="357"/>
      <c r="BA596" s="357"/>
      <c r="BB596" s="357"/>
      <c r="BC596" s="357"/>
      <c r="BD596" s="357"/>
    </row>
    <row r="597" spans="7:56">
      <c r="G597" s="357"/>
      <c r="H597" s="357"/>
      <c r="I597" s="357"/>
      <c r="J597" s="357"/>
      <c r="K597" s="357"/>
      <c r="L597" s="357"/>
      <c r="M597" s="357"/>
      <c r="N597" s="357"/>
      <c r="O597" s="357"/>
      <c r="P597" s="357"/>
      <c r="Q597" s="357"/>
      <c r="R597" s="357"/>
      <c r="S597" s="357"/>
      <c r="T597" s="357"/>
      <c r="U597" s="357"/>
      <c r="V597" s="357"/>
      <c r="W597" s="357"/>
      <c r="X597" s="357"/>
      <c r="Y597" s="357"/>
      <c r="Z597" s="357"/>
      <c r="AA597" s="357"/>
      <c r="AB597" s="357"/>
      <c r="AC597" s="357"/>
      <c r="AD597" s="357"/>
      <c r="AE597" s="357"/>
      <c r="AF597" s="357"/>
      <c r="AG597" s="357"/>
      <c r="AH597" s="357"/>
      <c r="AI597" s="357"/>
      <c r="AJ597" s="357"/>
      <c r="AK597" s="357"/>
      <c r="AL597" s="357"/>
      <c r="AM597" s="357"/>
      <c r="AN597" s="357"/>
      <c r="AO597" s="357"/>
      <c r="AP597" s="357"/>
      <c r="AQ597" s="357"/>
      <c r="AR597" s="357"/>
      <c r="AS597" s="357"/>
      <c r="AT597" s="357"/>
      <c r="AU597" s="357"/>
      <c r="AV597" s="357"/>
      <c r="AW597" s="357"/>
      <c r="AX597" s="357"/>
      <c r="AY597" s="357"/>
      <c r="AZ597" s="357"/>
      <c r="BA597" s="357"/>
      <c r="BB597" s="357"/>
      <c r="BC597" s="357"/>
      <c r="BD597" s="357"/>
    </row>
    <row r="598" spans="7:56">
      <c r="G598" s="357"/>
      <c r="H598" s="357"/>
      <c r="I598" s="357"/>
      <c r="J598" s="357"/>
      <c r="K598" s="357"/>
      <c r="L598" s="357"/>
      <c r="M598" s="357"/>
      <c r="N598" s="357"/>
      <c r="O598" s="357"/>
      <c r="P598" s="357"/>
      <c r="Q598" s="357"/>
      <c r="R598" s="357"/>
      <c r="S598" s="357"/>
      <c r="T598" s="357"/>
      <c r="U598" s="357"/>
      <c r="V598" s="357"/>
      <c r="W598" s="357"/>
      <c r="X598" s="357"/>
      <c r="Y598" s="357"/>
      <c r="Z598" s="357"/>
      <c r="AA598" s="357"/>
      <c r="AB598" s="357"/>
      <c r="AC598" s="357"/>
      <c r="AD598" s="357"/>
      <c r="AE598" s="357"/>
      <c r="AF598" s="357"/>
      <c r="AG598" s="357"/>
      <c r="AH598" s="357"/>
      <c r="AI598" s="357"/>
      <c r="AJ598" s="357"/>
      <c r="AK598" s="357"/>
      <c r="AL598" s="357"/>
      <c r="AM598" s="357"/>
      <c r="AN598" s="357"/>
      <c r="AO598" s="357"/>
      <c r="AP598" s="357"/>
      <c r="AQ598" s="357"/>
      <c r="AR598" s="357"/>
      <c r="AS598" s="357"/>
      <c r="AT598" s="357"/>
      <c r="AU598" s="357"/>
      <c r="AV598" s="357"/>
      <c r="AW598" s="357"/>
      <c r="AX598" s="357"/>
      <c r="AY598" s="357"/>
      <c r="AZ598" s="357"/>
      <c r="BA598" s="357"/>
      <c r="BB598" s="357"/>
      <c r="BC598" s="357"/>
      <c r="BD598" s="357"/>
    </row>
    <row r="599" spans="7:56">
      <c r="G599" s="357"/>
      <c r="H599" s="357"/>
      <c r="I599" s="357"/>
      <c r="J599" s="357"/>
      <c r="K599" s="357"/>
      <c r="L599" s="357"/>
      <c r="M599" s="357"/>
      <c r="N599" s="357"/>
      <c r="O599" s="357"/>
      <c r="P599" s="357"/>
      <c r="Q599" s="357"/>
      <c r="R599" s="357"/>
      <c r="S599" s="357"/>
      <c r="T599" s="357"/>
      <c r="U599" s="357"/>
      <c r="V599" s="357"/>
      <c r="W599" s="357"/>
      <c r="X599" s="357"/>
      <c r="Y599" s="357"/>
      <c r="Z599" s="357"/>
      <c r="AA599" s="357"/>
      <c r="AB599" s="357"/>
      <c r="AC599" s="357"/>
      <c r="AD599" s="357"/>
      <c r="AE599" s="357"/>
      <c r="AF599" s="357"/>
      <c r="AG599" s="357"/>
      <c r="AH599" s="357"/>
      <c r="AI599" s="357"/>
      <c r="AJ599" s="357"/>
      <c r="AK599" s="357"/>
      <c r="AL599" s="357"/>
      <c r="AM599" s="357"/>
      <c r="AN599" s="357"/>
      <c r="AO599" s="357"/>
      <c r="AP599" s="357"/>
      <c r="AQ599" s="357"/>
      <c r="AR599" s="357"/>
      <c r="AS599" s="357"/>
      <c r="AT599" s="357"/>
      <c r="AU599" s="357"/>
      <c r="AV599" s="357"/>
      <c r="AW599" s="357"/>
      <c r="AX599" s="357"/>
      <c r="AY599" s="357"/>
      <c r="AZ599" s="357"/>
      <c r="BA599" s="357"/>
      <c r="BB599" s="357"/>
      <c r="BC599" s="357"/>
      <c r="BD599" s="357"/>
    </row>
    <row r="600" spans="7:56">
      <c r="G600" s="357"/>
      <c r="H600" s="357"/>
      <c r="I600" s="357"/>
      <c r="J600" s="357"/>
      <c r="K600" s="357"/>
      <c r="L600" s="357"/>
      <c r="M600" s="357"/>
      <c r="N600" s="357"/>
      <c r="O600" s="357"/>
      <c r="P600" s="357"/>
      <c r="Q600" s="357"/>
      <c r="R600" s="357"/>
      <c r="S600" s="357"/>
      <c r="T600" s="357"/>
      <c r="U600" s="357"/>
      <c r="V600" s="357"/>
      <c r="W600" s="357"/>
      <c r="X600" s="357"/>
      <c r="Y600" s="357"/>
      <c r="Z600" s="357"/>
      <c r="AA600" s="357"/>
      <c r="AB600" s="357"/>
      <c r="AC600" s="357"/>
      <c r="AD600" s="357"/>
      <c r="AE600" s="357"/>
      <c r="AF600" s="357"/>
      <c r="AG600" s="357"/>
      <c r="AH600" s="357"/>
      <c r="AI600" s="357"/>
      <c r="AJ600" s="357"/>
      <c r="AK600" s="357"/>
      <c r="AL600" s="357"/>
      <c r="AM600" s="357"/>
      <c r="AN600" s="357"/>
      <c r="AO600" s="357"/>
      <c r="AP600" s="357"/>
      <c r="AQ600" s="357"/>
      <c r="AR600" s="357"/>
      <c r="AS600" s="357"/>
      <c r="AT600" s="357"/>
      <c r="AU600" s="357"/>
      <c r="AV600" s="357"/>
      <c r="AW600" s="357"/>
      <c r="AX600" s="357"/>
      <c r="AY600" s="357"/>
      <c r="AZ600" s="357"/>
      <c r="BA600" s="357"/>
      <c r="BB600" s="357"/>
      <c r="BC600" s="357"/>
      <c r="BD600" s="357"/>
    </row>
    <row r="601" spans="7:56">
      <c r="G601" s="357"/>
      <c r="H601" s="357"/>
      <c r="I601" s="357"/>
      <c r="J601" s="357"/>
      <c r="K601" s="357"/>
      <c r="L601" s="357"/>
      <c r="M601" s="357"/>
      <c r="N601" s="357"/>
      <c r="O601" s="357"/>
      <c r="P601" s="357"/>
      <c r="Q601" s="357"/>
      <c r="R601" s="357"/>
      <c r="S601" s="357"/>
      <c r="T601" s="357"/>
      <c r="U601" s="357"/>
      <c r="V601" s="357"/>
      <c r="W601" s="357"/>
      <c r="X601" s="357"/>
      <c r="Y601" s="357"/>
      <c r="Z601" s="357"/>
      <c r="AA601" s="357"/>
      <c r="AB601" s="357"/>
      <c r="AC601" s="357"/>
      <c r="AD601" s="357"/>
      <c r="AE601" s="357"/>
      <c r="AF601" s="357"/>
      <c r="AG601" s="357"/>
      <c r="AH601" s="357"/>
      <c r="AI601" s="357"/>
      <c r="AJ601" s="357"/>
      <c r="AK601" s="357"/>
      <c r="AL601" s="357"/>
      <c r="AM601" s="357"/>
      <c r="AN601" s="357"/>
      <c r="AO601" s="357"/>
      <c r="AP601" s="357"/>
      <c r="AQ601" s="357"/>
      <c r="AR601" s="357"/>
      <c r="AS601" s="357"/>
      <c r="AT601" s="357"/>
      <c r="AU601" s="357"/>
      <c r="AV601" s="357"/>
      <c r="AW601" s="357"/>
      <c r="AX601" s="357"/>
      <c r="AY601" s="357"/>
      <c r="AZ601" s="357"/>
      <c r="BA601" s="357"/>
      <c r="BB601" s="357"/>
      <c r="BC601" s="357"/>
      <c r="BD601" s="357"/>
    </row>
    <row r="602" spans="7:56">
      <c r="G602" s="357"/>
      <c r="H602" s="357"/>
      <c r="I602" s="357"/>
      <c r="J602" s="357"/>
      <c r="K602" s="357"/>
      <c r="L602" s="357"/>
      <c r="M602" s="357"/>
      <c r="N602" s="357"/>
      <c r="O602" s="357"/>
      <c r="P602" s="357"/>
      <c r="Q602" s="357"/>
      <c r="R602" s="357"/>
      <c r="S602" s="357"/>
      <c r="T602" s="357"/>
      <c r="U602" s="357"/>
      <c r="V602" s="357"/>
      <c r="W602" s="357"/>
      <c r="X602" s="357"/>
      <c r="Y602" s="357"/>
      <c r="Z602" s="357"/>
      <c r="AA602" s="357"/>
      <c r="AB602" s="357"/>
      <c r="AC602" s="357"/>
      <c r="AD602" s="357"/>
      <c r="AE602" s="357"/>
      <c r="AF602" s="357"/>
      <c r="AG602" s="357"/>
      <c r="AH602" s="357"/>
      <c r="AI602" s="357"/>
      <c r="AJ602" s="357"/>
      <c r="AK602" s="357"/>
      <c r="AL602" s="357"/>
      <c r="AM602" s="357"/>
      <c r="AN602" s="357"/>
      <c r="AO602" s="357"/>
      <c r="AP602" s="357"/>
      <c r="AQ602" s="357"/>
      <c r="AR602" s="357"/>
      <c r="AS602" s="357"/>
      <c r="AT602" s="357"/>
      <c r="AU602" s="357"/>
      <c r="AV602" s="357"/>
      <c r="AW602" s="357"/>
      <c r="AX602" s="357"/>
      <c r="AY602" s="357"/>
      <c r="AZ602" s="357"/>
      <c r="BA602" s="357"/>
      <c r="BB602" s="357"/>
      <c r="BC602" s="357"/>
      <c r="BD602" s="357"/>
    </row>
    <row r="603" spans="7:56">
      <c r="G603" s="357"/>
      <c r="H603" s="357"/>
      <c r="I603" s="357"/>
      <c r="J603" s="357"/>
      <c r="K603" s="357"/>
      <c r="L603" s="357"/>
      <c r="M603" s="357"/>
      <c r="N603" s="357"/>
      <c r="O603" s="357"/>
      <c r="P603" s="357"/>
      <c r="Q603" s="357"/>
      <c r="R603" s="357"/>
      <c r="S603" s="357"/>
      <c r="T603" s="357"/>
      <c r="U603" s="357"/>
      <c r="V603" s="357"/>
      <c r="W603" s="357"/>
      <c r="X603" s="357"/>
      <c r="Y603" s="357"/>
      <c r="Z603" s="357"/>
      <c r="AA603" s="357"/>
      <c r="AB603" s="357"/>
      <c r="AC603" s="357"/>
      <c r="AD603" s="357"/>
      <c r="AE603" s="357"/>
      <c r="AF603" s="357"/>
      <c r="AG603" s="357"/>
      <c r="AH603" s="357"/>
      <c r="AI603" s="357"/>
      <c r="AJ603" s="357"/>
      <c r="AK603" s="357"/>
      <c r="AL603" s="357"/>
      <c r="AM603" s="357"/>
      <c r="AN603" s="357"/>
      <c r="AO603" s="357"/>
      <c r="AP603" s="357"/>
      <c r="AQ603" s="357"/>
      <c r="AR603" s="357"/>
      <c r="AS603" s="357"/>
      <c r="AT603" s="357"/>
      <c r="AU603" s="357"/>
      <c r="AV603" s="357"/>
      <c r="AW603" s="357"/>
      <c r="AX603" s="357"/>
      <c r="AY603" s="357"/>
      <c r="AZ603" s="357"/>
      <c r="BA603" s="357"/>
      <c r="BB603" s="357"/>
      <c r="BC603" s="357"/>
      <c r="BD603" s="357"/>
    </row>
    <row r="604" spans="7:56">
      <c r="G604" s="357"/>
      <c r="H604" s="357"/>
      <c r="I604" s="357"/>
      <c r="J604" s="357"/>
      <c r="K604" s="357"/>
      <c r="L604" s="357"/>
      <c r="M604" s="357"/>
      <c r="N604" s="357"/>
      <c r="O604" s="357"/>
      <c r="P604" s="357"/>
      <c r="Q604" s="357"/>
      <c r="R604" s="357"/>
      <c r="S604" s="357"/>
      <c r="T604" s="357"/>
      <c r="U604" s="357"/>
      <c r="V604" s="357"/>
      <c r="W604" s="357"/>
      <c r="X604" s="357"/>
      <c r="Y604" s="357"/>
      <c r="Z604" s="357"/>
      <c r="AA604" s="357"/>
      <c r="AB604" s="357"/>
      <c r="AC604" s="357"/>
      <c r="AD604" s="357"/>
      <c r="AE604" s="357"/>
      <c r="AF604" s="357"/>
      <c r="AG604" s="357"/>
      <c r="AH604" s="357"/>
      <c r="AI604" s="357"/>
      <c r="AJ604" s="357"/>
      <c r="AK604" s="357"/>
      <c r="AL604" s="357"/>
      <c r="AM604" s="357"/>
      <c r="AN604" s="357"/>
      <c r="AO604" s="357"/>
      <c r="AP604" s="357"/>
      <c r="AQ604" s="357"/>
      <c r="AR604" s="357"/>
      <c r="AS604" s="357"/>
      <c r="AT604" s="357"/>
      <c r="AU604" s="357"/>
      <c r="AV604" s="357"/>
      <c r="AW604" s="357"/>
      <c r="AX604" s="357"/>
      <c r="AY604" s="357"/>
      <c r="AZ604" s="357"/>
      <c r="BA604" s="357"/>
      <c r="BB604" s="357"/>
      <c r="BC604" s="357"/>
      <c r="BD604" s="357"/>
    </row>
    <row r="605" spans="7:56">
      <c r="G605" s="357"/>
      <c r="H605" s="357"/>
      <c r="I605" s="357"/>
      <c r="J605" s="357"/>
      <c r="K605" s="357"/>
      <c r="L605" s="357"/>
      <c r="M605" s="357"/>
      <c r="N605" s="357"/>
      <c r="O605" s="357"/>
      <c r="P605" s="357"/>
      <c r="Q605" s="357"/>
      <c r="R605" s="357"/>
      <c r="S605" s="357"/>
      <c r="T605" s="357"/>
      <c r="U605" s="357"/>
      <c r="V605" s="357"/>
      <c r="W605" s="357"/>
      <c r="X605" s="357"/>
      <c r="Y605" s="357"/>
      <c r="Z605" s="357"/>
      <c r="AA605" s="357"/>
      <c r="AB605" s="357"/>
      <c r="AC605" s="357"/>
      <c r="AD605" s="357"/>
      <c r="AE605" s="357"/>
      <c r="AF605" s="357"/>
      <c r="AG605" s="357"/>
      <c r="AH605" s="357"/>
      <c r="AI605" s="357"/>
      <c r="AJ605" s="357"/>
      <c r="AK605" s="357"/>
      <c r="AL605" s="357"/>
      <c r="AM605" s="357"/>
      <c r="AN605" s="357"/>
      <c r="AO605" s="357"/>
      <c r="AP605" s="357"/>
      <c r="AQ605" s="357"/>
      <c r="AR605" s="357"/>
      <c r="AS605" s="357"/>
      <c r="AT605" s="357"/>
      <c r="AU605" s="357"/>
      <c r="AV605" s="357"/>
      <c r="AW605" s="357"/>
      <c r="AX605" s="357"/>
      <c r="AY605" s="357"/>
      <c r="AZ605" s="357"/>
      <c r="BA605" s="357"/>
      <c r="BB605" s="357"/>
      <c r="BC605" s="357"/>
      <c r="BD605" s="357"/>
    </row>
    <row r="606" spans="7:56">
      <c r="G606" s="357"/>
      <c r="H606" s="357"/>
      <c r="I606" s="357"/>
      <c r="J606" s="357"/>
      <c r="K606" s="357"/>
      <c r="L606" s="357"/>
      <c r="M606" s="357"/>
      <c r="N606" s="357"/>
      <c r="O606" s="357"/>
      <c r="P606" s="357"/>
      <c r="Q606" s="357"/>
      <c r="R606" s="357"/>
      <c r="S606" s="357"/>
      <c r="T606" s="357"/>
      <c r="U606" s="357"/>
      <c r="V606" s="357"/>
      <c r="W606" s="357"/>
      <c r="X606" s="357"/>
      <c r="Y606" s="357"/>
      <c r="Z606" s="357"/>
      <c r="AA606" s="357"/>
      <c r="AB606" s="357"/>
      <c r="AC606" s="357"/>
      <c r="AD606" s="357"/>
      <c r="AE606" s="357"/>
      <c r="AF606" s="357"/>
      <c r="AG606" s="357"/>
      <c r="AH606" s="357"/>
      <c r="AI606" s="357"/>
      <c r="AJ606" s="357"/>
      <c r="AK606" s="357"/>
      <c r="AL606" s="357"/>
      <c r="AM606" s="357"/>
      <c r="AN606" s="357"/>
      <c r="AO606" s="357"/>
      <c r="AP606" s="357"/>
      <c r="AQ606" s="357"/>
      <c r="AR606" s="357"/>
      <c r="AS606" s="357"/>
      <c r="AT606" s="357"/>
      <c r="AU606" s="357"/>
      <c r="AV606" s="357"/>
      <c r="AW606" s="357"/>
      <c r="AX606" s="357"/>
      <c r="AY606" s="357"/>
      <c r="AZ606" s="357"/>
      <c r="BA606" s="357"/>
      <c r="BB606" s="357"/>
      <c r="BC606" s="357"/>
      <c r="BD606" s="357"/>
    </row>
    <row r="607" spans="7:56">
      <c r="G607" s="357"/>
      <c r="H607" s="357"/>
      <c r="I607" s="357"/>
      <c r="J607" s="357"/>
      <c r="K607" s="357"/>
      <c r="L607" s="357"/>
      <c r="M607" s="357"/>
      <c r="N607" s="357"/>
      <c r="O607" s="357"/>
      <c r="P607" s="357"/>
      <c r="Q607" s="357"/>
      <c r="R607" s="357"/>
      <c r="S607" s="357"/>
      <c r="T607" s="357"/>
      <c r="U607" s="357"/>
      <c r="V607" s="357"/>
      <c r="W607" s="357"/>
      <c r="X607" s="357"/>
      <c r="Y607" s="357"/>
      <c r="Z607" s="357"/>
      <c r="AA607" s="357"/>
      <c r="AB607" s="357"/>
      <c r="AC607" s="357"/>
      <c r="AD607" s="357"/>
      <c r="AE607" s="357"/>
      <c r="AF607" s="357"/>
      <c r="AG607" s="357"/>
      <c r="AH607" s="357"/>
      <c r="AI607" s="357"/>
      <c r="AJ607" s="357"/>
      <c r="AK607" s="357"/>
      <c r="AL607" s="357"/>
      <c r="AM607" s="357"/>
      <c r="AN607" s="357"/>
      <c r="AO607" s="357"/>
      <c r="AP607" s="357"/>
      <c r="AQ607" s="357"/>
      <c r="AR607" s="357"/>
      <c r="AS607" s="357"/>
      <c r="AT607" s="357"/>
      <c r="AU607" s="357"/>
      <c r="AV607" s="357"/>
      <c r="AW607" s="357"/>
      <c r="AX607" s="357"/>
      <c r="AY607" s="357"/>
      <c r="AZ607" s="357"/>
      <c r="BA607" s="357"/>
      <c r="BB607" s="357"/>
      <c r="BC607" s="357"/>
      <c r="BD607" s="357"/>
    </row>
    <row r="608" spans="7:56">
      <c r="G608" s="357"/>
      <c r="H608" s="357"/>
      <c r="I608" s="357"/>
      <c r="J608" s="357"/>
      <c r="K608" s="357"/>
      <c r="L608" s="357"/>
      <c r="M608" s="357"/>
      <c r="N608" s="357"/>
      <c r="O608" s="357"/>
      <c r="P608" s="357"/>
      <c r="Q608" s="357"/>
      <c r="R608" s="357"/>
      <c r="S608" s="357"/>
      <c r="T608" s="357"/>
      <c r="U608" s="357"/>
      <c r="V608" s="357"/>
      <c r="W608" s="357"/>
      <c r="X608" s="357"/>
      <c r="Y608" s="357"/>
      <c r="Z608" s="357"/>
      <c r="AA608" s="357"/>
      <c r="AB608" s="357"/>
      <c r="AC608" s="357"/>
      <c r="AD608" s="357"/>
      <c r="AE608" s="357"/>
      <c r="AF608" s="357"/>
      <c r="AG608" s="357"/>
      <c r="AH608" s="357"/>
      <c r="AI608" s="357"/>
      <c r="AJ608" s="357"/>
      <c r="AK608" s="357"/>
      <c r="AL608" s="357"/>
      <c r="AM608" s="357"/>
      <c r="AN608" s="357"/>
      <c r="AO608" s="357"/>
      <c r="AP608" s="357"/>
      <c r="AQ608" s="357"/>
      <c r="AR608" s="357"/>
      <c r="AS608" s="357"/>
      <c r="AT608" s="357"/>
      <c r="AU608" s="357"/>
      <c r="AV608" s="357"/>
      <c r="AW608" s="357"/>
      <c r="AX608" s="357"/>
      <c r="AY608" s="357"/>
      <c r="AZ608" s="357"/>
      <c r="BA608" s="357"/>
      <c r="BB608" s="357"/>
      <c r="BC608" s="357"/>
      <c r="BD608" s="357"/>
    </row>
    <row r="609" spans="7:56">
      <c r="G609" s="357"/>
      <c r="H609" s="357"/>
      <c r="I609" s="357"/>
      <c r="J609" s="357"/>
      <c r="K609" s="357"/>
      <c r="L609" s="357"/>
      <c r="M609" s="357"/>
      <c r="N609" s="357"/>
      <c r="O609" s="357"/>
      <c r="P609" s="357"/>
      <c r="Q609" s="357"/>
      <c r="R609" s="357"/>
      <c r="S609" s="357"/>
      <c r="T609" s="357"/>
      <c r="U609" s="357"/>
      <c r="V609" s="357"/>
      <c r="W609" s="357"/>
      <c r="X609" s="357"/>
      <c r="Y609" s="357"/>
      <c r="Z609" s="357"/>
      <c r="AA609" s="357"/>
      <c r="AB609" s="357"/>
      <c r="AC609" s="357"/>
      <c r="AD609" s="357"/>
      <c r="AE609" s="357"/>
      <c r="AF609" s="357"/>
      <c r="AG609" s="357"/>
      <c r="AH609" s="357"/>
      <c r="AI609" s="357"/>
      <c r="AJ609" s="357"/>
      <c r="AK609" s="357"/>
      <c r="AL609" s="357"/>
      <c r="AM609" s="357"/>
      <c r="AN609" s="357"/>
      <c r="AO609" s="357"/>
      <c r="AP609" s="357"/>
      <c r="AQ609" s="357"/>
      <c r="AR609" s="357"/>
      <c r="AS609" s="357"/>
      <c r="AT609" s="357"/>
      <c r="AU609" s="357"/>
      <c r="AV609" s="357"/>
      <c r="AW609" s="357"/>
      <c r="AX609" s="357"/>
      <c r="AY609" s="357"/>
      <c r="AZ609" s="357"/>
      <c r="BA609" s="357"/>
      <c r="BB609" s="357"/>
      <c r="BC609" s="357"/>
      <c r="BD609" s="357"/>
    </row>
    <row r="610" spans="7:56">
      <c r="G610" s="357"/>
      <c r="H610" s="357"/>
      <c r="I610" s="357"/>
      <c r="J610" s="357"/>
      <c r="K610" s="357"/>
      <c r="L610" s="357"/>
      <c r="M610" s="357"/>
      <c r="N610" s="357"/>
      <c r="O610" s="357"/>
      <c r="P610" s="357"/>
      <c r="Q610" s="357"/>
      <c r="R610" s="357"/>
      <c r="S610" s="357"/>
      <c r="T610" s="357"/>
      <c r="U610" s="357"/>
      <c r="V610" s="357"/>
      <c r="W610" s="357"/>
      <c r="X610" s="357"/>
      <c r="Y610" s="357"/>
      <c r="Z610" s="357"/>
      <c r="AA610" s="357"/>
      <c r="AB610" s="357"/>
      <c r="AC610" s="357"/>
      <c r="AD610" s="357"/>
      <c r="AE610" s="357"/>
      <c r="AF610" s="357"/>
      <c r="AG610" s="357"/>
      <c r="AH610" s="357"/>
      <c r="AI610" s="357"/>
      <c r="AJ610" s="357"/>
      <c r="AK610" s="357"/>
      <c r="AL610" s="357"/>
      <c r="AM610" s="357"/>
      <c r="AN610" s="357"/>
      <c r="AO610" s="357"/>
      <c r="AP610" s="357"/>
      <c r="AQ610" s="357"/>
      <c r="AR610" s="357"/>
      <c r="AS610" s="357"/>
      <c r="AT610" s="357"/>
      <c r="AU610" s="357"/>
      <c r="AV610" s="357"/>
      <c r="AW610" s="357"/>
      <c r="AX610" s="357"/>
      <c r="AY610" s="357"/>
      <c r="AZ610" s="357"/>
      <c r="BA610" s="357"/>
      <c r="BB610" s="357"/>
      <c r="BC610" s="357"/>
      <c r="BD610" s="357"/>
    </row>
    <row r="611" spans="7:56">
      <c r="G611" s="357"/>
      <c r="H611" s="357"/>
      <c r="I611" s="357"/>
      <c r="J611" s="357"/>
      <c r="K611" s="357"/>
      <c r="L611" s="357"/>
      <c r="M611" s="357"/>
      <c r="N611" s="357"/>
      <c r="O611" s="357"/>
      <c r="P611" s="357"/>
      <c r="Q611" s="357"/>
      <c r="R611" s="357"/>
      <c r="S611" s="357"/>
      <c r="T611" s="357"/>
      <c r="U611" s="357"/>
      <c r="V611" s="357"/>
      <c r="W611" s="357"/>
      <c r="X611" s="357"/>
      <c r="Y611" s="357"/>
      <c r="Z611" s="357"/>
      <c r="AA611" s="357"/>
      <c r="AB611" s="357"/>
      <c r="AC611" s="357"/>
      <c r="AD611" s="357"/>
      <c r="AE611" s="357"/>
      <c r="AF611" s="357"/>
      <c r="AG611" s="357"/>
      <c r="AH611" s="357"/>
      <c r="AI611" s="357"/>
      <c r="AJ611" s="357"/>
      <c r="AK611" s="357"/>
      <c r="AL611" s="357"/>
      <c r="AM611" s="357"/>
      <c r="AN611" s="357"/>
      <c r="AO611" s="357"/>
      <c r="AP611" s="357"/>
      <c r="AQ611" s="357"/>
      <c r="AR611" s="357"/>
      <c r="AS611" s="357"/>
      <c r="AT611" s="357"/>
      <c r="AU611" s="357"/>
      <c r="AV611" s="357"/>
      <c r="AW611" s="357"/>
      <c r="AX611" s="357"/>
      <c r="AY611" s="357"/>
      <c r="AZ611" s="357"/>
      <c r="BA611" s="357"/>
      <c r="BB611" s="357"/>
      <c r="BC611" s="357"/>
      <c r="BD611" s="357"/>
    </row>
    <row r="612" spans="7:56">
      <c r="G612" s="357"/>
      <c r="H612" s="357"/>
      <c r="I612" s="357"/>
      <c r="J612" s="357"/>
      <c r="K612" s="357"/>
      <c r="L612" s="357"/>
      <c r="M612" s="357"/>
      <c r="N612" s="357"/>
      <c r="O612" s="357"/>
      <c r="P612" s="357"/>
      <c r="Q612" s="357"/>
      <c r="R612" s="357"/>
      <c r="S612" s="357"/>
      <c r="T612" s="357"/>
      <c r="U612" s="357"/>
      <c r="V612" s="357"/>
      <c r="W612" s="357"/>
      <c r="X612" s="357"/>
      <c r="Y612" s="357"/>
      <c r="Z612" s="357"/>
      <c r="AA612" s="357"/>
      <c r="AB612" s="357"/>
      <c r="AC612" s="357"/>
      <c r="AD612" s="357"/>
      <c r="AE612" s="357"/>
      <c r="AF612" s="357"/>
      <c r="AG612" s="357"/>
      <c r="AH612" s="357"/>
      <c r="AI612" s="357"/>
      <c r="AJ612" s="357"/>
      <c r="AK612" s="357"/>
      <c r="AL612" s="357"/>
      <c r="AM612" s="357"/>
      <c r="AN612" s="357"/>
      <c r="AO612" s="357"/>
      <c r="AP612" s="357"/>
      <c r="AQ612" s="357"/>
      <c r="AR612" s="357"/>
      <c r="AS612" s="357"/>
      <c r="AT612" s="357"/>
      <c r="AU612" s="357"/>
      <c r="AV612" s="357"/>
      <c r="AW612" s="357"/>
      <c r="AX612" s="357"/>
      <c r="AY612" s="357"/>
      <c r="AZ612" s="357"/>
      <c r="BA612" s="357"/>
      <c r="BB612" s="357"/>
      <c r="BC612" s="357"/>
      <c r="BD612" s="357"/>
    </row>
    <row r="613" spans="7:56">
      <c r="G613" s="357"/>
      <c r="H613" s="357"/>
      <c r="I613" s="357"/>
      <c r="J613" s="357"/>
      <c r="K613" s="357"/>
      <c r="L613" s="357"/>
      <c r="M613" s="357"/>
      <c r="N613" s="357"/>
      <c r="O613" s="357"/>
      <c r="P613" s="357"/>
      <c r="Q613" s="357"/>
      <c r="R613" s="357"/>
      <c r="S613" s="357"/>
      <c r="T613" s="357"/>
      <c r="U613" s="357"/>
      <c r="V613" s="357"/>
      <c r="W613" s="357"/>
      <c r="X613" s="357"/>
      <c r="Y613" s="357"/>
      <c r="Z613" s="357"/>
      <c r="AA613" s="357"/>
      <c r="AB613" s="357"/>
      <c r="AC613" s="357"/>
      <c r="AD613" s="357"/>
      <c r="AE613" s="357"/>
      <c r="AF613" s="357"/>
      <c r="AG613" s="357"/>
      <c r="AH613" s="357"/>
      <c r="AI613" s="357"/>
      <c r="AJ613" s="357"/>
      <c r="AK613" s="357"/>
      <c r="AL613" s="357"/>
      <c r="AM613" s="357"/>
      <c r="AN613" s="357"/>
      <c r="AO613" s="357"/>
      <c r="AP613" s="357"/>
      <c r="AQ613" s="357"/>
      <c r="AR613" s="357"/>
      <c r="AS613" s="357"/>
      <c r="AT613" s="357"/>
      <c r="AU613" s="357"/>
      <c r="AV613" s="357"/>
      <c r="AW613" s="357"/>
      <c r="AX613" s="357"/>
      <c r="AY613" s="357"/>
      <c r="AZ613" s="357"/>
      <c r="BA613" s="357"/>
      <c r="BB613" s="357"/>
      <c r="BC613" s="357"/>
      <c r="BD613" s="357"/>
    </row>
    <row r="614" spans="7:56">
      <c r="G614" s="357"/>
      <c r="H614" s="357"/>
      <c r="I614" s="357"/>
      <c r="J614" s="357"/>
      <c r="K614" s="357"/>
      <c r="L614" s="357"/>
      <c r="M614" s="357"/>
      <c r="N614" s="357"/>
      <c r="O614" s="357"/>
      <c r="P614" s="357"/>
      <c r="Q614" s="357"/>
      <c r="R614" s="357"/>
      <c r="S614" s="357"/>
      <c r="T614" s="357"/>
      <c r="U614" s="357"/>
      <c r="V614" s="357"/>
      <c r="W614" s="357"/>
      <c r="X614" s="357"/>
      <c r="Y614" s="357"/>
      <c r="Z614" s="357"/>
      <c r="AA614" s="357"/>
      <c r="AB614" s="357"/>
      <c r="AC614" s="357"/>
      <c r="AD614" s="357"/>
      <c r="AE614" s="357"/>
      <c r="AF614" s="357"/>
      <c r="AG614" s="357"/>
      <c r="AH614" s="357"/>
      <c r="AI614" s="357"/>
      <c r="AJ614" s="357"/>
      <c r="AK614" s="357"/>
      <c r="AL614" s="357"/>
      <c r="AM614" s="357"/>
      <c r="AN614" s="357"/>
      <c r="AO614" s="357"/>
      <c r="AP614" s="357"/>
      <c r="AQ614" s="357"/>
      <c r="AR614" s="357"/>
      <c r="AS614" s="357"/>
      <c r="AT614" s="357"/>
      <c r="AU614" s="357"/>
      <c r="AV614" s="357"/>
      <c r="AW614" s="357"/>
      <c r="AX614" s="357"/>
      <c r="AY614" s="357"/>
      <c r="AZ614" s="357"/>
      <c r="BA614" s="357"/>
      <c r="BB614" s="357"/>
      <c r="BC614" s="357"/>
      <c r="BD614" s="357"/>
    </row>
    <row r="615" spans="7:56">
      <c r="G615" s="357"/>
      <c r="H615" s="357"/>
      <c r="I615" s="357"/>
      <c r="J615" s="357"/>
      <c r="K615" s="357"/>
      <c r="L615" s="357"/>
      <c r="M615" s="357"/>
      <c r="N615" s="357"/>
      <c r="O615" s="357"/>
      <c r="P615" s="357"/>
      <c r="Q615" s="357"/>
      <c r="R615" s="357"/>
      <c r="S615" s="357"/>
      <c r="T615" s="357"/>
      <c r="U615" s="357"/>
      <c r="V615" s="357"/>
      <c r="W615" s="357"/>
      <c r="X615" s="357"/>
      <c r="Y615" s="357"/>
      <c r="Z615" s="357"/>
      <c r="AA615" s="357"/>
      <c r="AB615" s="357"/>
      <c r="AC615" s="357"/>
      <c r="AD615" s="357"/>
      <c r="AE615" s="357"/>
      <c r="AF615" s="357"/>
      <c r="AG615" s="357"/>
      <c r="AH615" s="357"/>
      <c r="AI615" s="357"/>
      <c r="AJ615" s="357"/>
      <c r="AK615" s="357"/>
      <c r="AL615" s="357"/>
      <c r="AM615" s="357"/>
      <c r="AN615" s="357"/>
      <c r="AO615" s="357"/>
      <c r="AP615" s="357"/>
      <c r="AQ615" s="357"/>
      <c r="AR615" s="357"/>
      <c r="AS615" s="357"/>
      <c r="AT615" s="357"/>
      <c r="AU615" s="357"/>
      <c r="AV615" s="357"/>
      <c r="AW615" s="357"/>
      <c r="AX615" s="357"/>
      <c r="AY615" s="357"/>
      <c r="AZ615" s="357"/>
      <c r="BA615" s="357"/>
      <c r="BB615" s="357"/>
      <c r="BC615" s="357"/>
      <c r="BD615" s="357"/>
    </row>
    <row r="616" spans="7:56">
      <c r="G616" s="357"/>
      <c r="H616" s="357"/>
      <c r="I616" s="357"/>
      <c r="J616" s="357"/>
      <c r="K616" s="357"/>
      <c r="L616" s="357"/>
      <c r="M616" s="357"/>
      <c r="N616" s="357"/>
      <c r="O616" s="357"/>
      <c r="P616" s="357"/>
      <c r="Q616" s="357"/>
      <c r="R616" s="357"/>
      <c r="S616" s="357"/>
      <c r="T616" s="357"/>
      <c r="U616" s="357"/>
      <c r="V616" s="357"/>
      <c r="W616" s="357"/>
      <c r="X616" s="357"/>
      <c r="Y616" s="357"/>
      <c r="Z616" s="357"/>
      <c r="AA616" s="357"/>
      <c r="AB616" s="357"/>
      <c r="AC616" s="357"/>
      <c r="AD616" s="357"/>
      <c r="AE616" s="357"/>
      <c r="AF616" s="357"/>
      <c r="AG616" s="357"/>
      <c r="AH616" s="357"/>
      <c r="AI616" s="357"/>
      <c r="AJ616" s="357"/>
      <c r="AK616" s="357"/>
      <c r="AL616" s="357"/>
      <c r="AM616" s="357"/>
      <c r="AN616" s="357"/>
      <c r="AO616" s="357"/>
      <c r="AP616" s="357"/>
      <c r="AQ616" s="357"/>
      <c r="AR616" s="357"/>
      <c r="AS616" s="357"/>
      <c r="AT616" s="357"/>
      <c r="AU616" s="357"/>
      <c r="AV616" s="357"/>
      <c r="AW616" s="357"/>
      <c r="AX616" s="357"/>
      <c r="AY616" s="357"/>
      <c r="AZ616" s="357"/>
      <c r="BA616" s="357"/>
      <c r="BB616" s="357"/>
      <c r="BC616" s="357"/>
      <c r="BD616" s="357"/>
    </row>
    <row r="617" spans="7:56">
      <c r="G617" s="357"/>
      <c r="H617" s="357"/>
      <c r="I617" s="357"/>
      <c r="J617" s="357"/>
      <c r="K617" s="357"/>
      <c r="L617" s="357"/>
      <c r="M617" s="357"/>
      <c r="N617" s="357"/>
      <c r="O617" s="357"/>
      <c r="P617" s="357"/>
      <c r="Q617" s="357"/>
      <c r="R617" s="357"/>
      <c r="S617" s="357"/>
      <c r="T617" s="357"/>
      <c r="U617" s="357"/>
      <c r="V617" s="357"/>
      <c r="W617" s="357"/>
      <c r="X617" s="357"/>
      <c r="Y617" s="357"/>
      <c r="Z617" s="357"/>
      <c r="AA617" s="357"/>
      <c r="AB617" s="357"/>
      <c r="AC617" s="357"/>
      <c r="AD617" s="357"/>
      <c r="AE617" s="357"/>
      <c r="AF617" s="357"/>
      <c r="AG617" s="357"/>
      <c r="AH617" s="357"/>
      <c r="AI617" s="357"/>
      <c r="AJ617" s="357"/>
      <c r="AK617" s="357"/>
      <c r="AL617" s="357"/>
      <c r="AM617" s="357"/>
      <c r="AN617" s="357"/>
      <c r="AO617" s="357"/>
      <c r="AP617" s="357"/>
      <c r="AQ617" s="357"/>
      <c r="AR617" s="357"/>
      <c r="AS617" s="357"/>
      <c r="AT617" s="357"/>
      <c r="AU617" s="357"/>
      <c r="AV617" s="357"/>
      <c r="AW617" s="357"/>
      <c r="AX617" s="357"/>
      <c r="AY617" s="357"/>
      <c r="AZ617" s="357"/>
      <c r="BA617" s="357"/>
      <c r="BB617" s="357"/>
      <c r="BC617" s="357"/>
      <c r="BD617" s="357"/>
    </row>
    <row r="618" spans="7:56">
      <c r="G618" s="357"/>
      <c r="H618" s="357"/>
      <c r="I618" s="357"/>
      <c r="J618" s="357"/>
      <c r="K618" s="357"/>
      <c r="L618" s="357"/>
      <c r="M618" s="357"/>
      <c r="N618" s="357"/>
      <c r="O618" s="357"/>
      <c r="P618" s="357"/>
      <c r="Q618" s="357"/>
      <c r="R618" s="357"/>
      <c r="S618" s="357"/>
      <c r="T618" s="357"/>
      <c r="U618" s="357"/>
      <c r="V618" s="357"/>
      <c r="W618" s="357"/>
      <c r="X618" s="357"/>
      <c r="Y618" s="357"/>
      <c r="Z618" s="357"/>
      <c r="AA618" s="357"/>
      <c r="AB618" s="357"/>
      <c r="AC618" s="357"/>
      <c r="AD618" s="357"/>
      <c r="AE618" s="357"/>
      <c r="AF618" s="357"/>
      <c r="AG618" s="357"/>
      <c r="AH618" s="357"/>
      <c r="AI618" s="357"/>
      <c r="AJ618" s="357"/>
      <c r="AK618" s="357"/>
      <c r="AL618" s="357"/>
      <c r="AM618" s="357"/>
      <c r="AN618" s="357"/>
      <c r="AO618" s="357"/>
      <c r="AP618" s="357"/>
      <c r="AQ618" s="357"/>
      <c r="AR618" s="357"/>
      <c r="AS618" s="357"/>
      <c r="AT618" s="357"/>
      <c r="AU618" s="357"/>
      <c r="AV618" s="357"/>
      <c r="AW618" s="357"/>
      <c r="AX618" s="357"/>
      <c r="AY618" s="357"/>
      <c r="AZ618" s="357"/>
      <c r="BA618" s="357"/>
      <c r="BB618" s="357"/>
      <c r="BC618" s="357"/>
      <c r="BD618" s="357"/>
    </row>
    <row r="619" spans="7:56">
      <c r="G619" s="357"/>
      <c r="H619" s="357"/>
      <c r="I619" s="357"/>
      <c r="J619" s="357"/>
      <c r="K619" s="357"/>
      <c r="L619" s="357"/>
      <c r="M619" s="357"/>
      <c r="N619" s="357"/>
      <c r="O619" s="357"/>
      <c r="P619" s="357"/>
      <c r="Q619" s="357"/>
      <c r="R619" s="357"/>
      <c r="S619" s="357"/>
      <c r="T619" s="357"/>
      <c r="U619" s="357"/>
      <c r="V619" s="357"/>
      <c r="W619" s="357"/>
      <c r="X619" s="357"/>
      <c r="Y619" s="357"/>
      <c r="Z619" s="357"/>
      <c r="AA619" s="357"/>
      <c r="AB619" s="357"/>
      <c r="AC619" s="357"/>
      <c r="AD619" s="357"/>
      <c r="AE619" s="357"/>
      <c r="AF619" s="357"/>
      <c r="AG619" s="357"/>
      <c r="AH619" s="357"/>
      <c r="AI619" s="357"/>
      <c r="AJ619" s="357"/>
      <c r="AK619" s="357"/>
      <c r="AL619" s="357"/>
      <c r="AM619" s="357"/>
      <c r="AN619" s="357"/>
      <c r="AO619" s="357"/>
      <c r="AP619" s="357"/>
      <c r="AQ619" s="357"/>
      <c r="AR619" s="357"/>
      <c r="AS619" s="357"/>
      <c r="AT619" s="357"/>
      <c r="AU619" s="357"/>
      <c r="AV619" s="357"/>
      <c r="AW619" s="357"/>
      <c r="AX619" s="357"/>
      <c r="AY619" s="357"/>
      <c r="AZ619" s="357"/>
      <c r="BA619" s="357"/>
      <c r="BB619" s="357"/>
      <c r="BC619" s="357"/>
      <c r="BD619" s="357"/>
    </row>
    <row r="620" spans="7:56">
      <c r="G620" s="357"/>
      <c r="H620" s="357"/>
      <c r="I620" s="357"/>
      <c r="J620" s="357"/>
      <c r="K620" s="357"/>
      <c r="L620" s="357"/>
      <c r="M620" s="357"/>
      <c r="N620" s="357"/>
      <c r="O620" s="357"/>
      <c r="P620" s="357"/>
      <c r="Q620" s="357"/>
      <c r="R620" s="357"/>
      <c r="S620" s="357"/>
      <c r="T620" s="357"/>
      <c r="U620" s="357"/>
      <c r="V620" s="357"/>
      <c r="W620" s="357"/>
      <c r="X620" s="357"/>
      <c r="Y620" s="357"/>
      <c r="Z620" s="357"/>
      <c r="AA620" s="357"/>
      <c r="AB620" s="357"/>
      <c r="AC620" s="357"/>
      <c r="AD620" s="357"/>
      <c r="AE620" s="357"/>
      <c r="AF620" s="357"/>
      <c r="AG620" s="357"/>
      <c r="AH620" s="357"/>
      <c r="AI620" s="357"/>
      <c r="AJ620" s="357"/>
      <c r="AK620" s="357"/>
      <c r="AL620" s="357"/>
      <c r="AM620" s="357"/>
      <c r="AN620" s="357"/>
      <c r="AO620" s="357"/>
      <c r="AP620" s="357"/>
      <c r="AQ620" s="357"/>
      <c r="AR620" s="357"/>
      <c r="AS620" s="357"/>
      <c r="AT620" s="357"/>
      <c r="AU620" s="357"/>
      <c r="AV620" s="357"/>
      <c r="AW620" s="357"/>
      <c r="AX620" s="357"/>
      <c r="AY620" s="357"/>
      <c r="AZ620" s="357"/>
      <c r="BA620" s="357"/>
      <c r="BB620" s="357"/>
      <c r="BC620" s="357"/>
      <c r="BD620" s="357"/>
    </row>
    <row r="621" spans="7:56">
      <c r="G621" s="357"/>
      <c r="H621" s="357"/>
      <c r="I621" s="357"/>
      <c r="J621" s="357"/>
      <c r="K621" s="357"/>
      <c r="L621" s="357"/>
      <c r="M621" s="357"/>
      <c r="N621" s="357"/>
      <c r="O621" s="357"/>
      <c r="P621" s="357"/>
      <c r="Q621" s="357"/>
      <c r="R621" s="357"/>
      <c r="S621" s="357"/>
      <c r="T621" s="357"/>
      <c r="U621" s="357"/>
      <c r="V621" s="357"/>
      <c r="W621" s="357"/>
      <c r="X621" s="357"/>
      <c r="Y621" s="357"/>
      <c r="Z621" s="357"/>
      <c r="AA621" s="357"/>
      <c r="AB621" s="357"/>
      <c r="AC621" s="357"/>
      <c r="AD621" s="357"/>
      <c r="AE621" s="357"/>
      <c r="AF621" s="357"/>
      <c r="AG621" s="357"/>
      <c r="AH621" s="357"/>
      <c r="AI621" s="357"/>
      <c r="AJ621" s="357"/>
      <c r="AK621" s="357"/>
      <c r="AL621" s="357"/>
      <c r="AM621" s="357"/>
      <c r="AN621" s="357"/>
      <c r="AO621" s="357"/>
      <c r="AP621" s="357"/>
      <c r="AQ621" s="357"/>
      <c r="AR621" s="357"/>
      <c r="AS621" s="357"/>
      <c r="AT621" s="357"/>
      <c r="AU621" s="357"/>
      <c r="AV621" s="357"/>
      <c r="AW621" s="357"/>
      <c r="AX621" s="357"/>
      <c r="AY621" s="357"/>
      <c r="AZ621" s="357"/>
      <c r="BA621" s="357"/>
      <c r="BB621" s="357"/>
      <c r="BC621" s="357"/>
      <c r="BD621" s="357"/>
    </row>
    <row r="622" spans="7:56">
      <c r="G622" s="357"/>
      <c r="H622" s="357"/>
      <c r="I622" s="357"/>
      <c r="J622" s="357"/>
      <c r="K622" s="357"/>
      <c r="L622" s="357"/>
      <c r="M622" s="357"/>
      <c r="N622" s="357"/>
      <c r="O622" s="357"/>
      <c r="P622" s="357"/>
      <c r="Q622" s="357"/>
      <c r="R622" s="357"/>
      <c r="S622" s="357"/>
      <c r="T622" s="357"/>
      <c r="U622" s="357"/>
      <c r="V622" s="357"/>
      <c r="W622" s="357"/>
      <c r="X622" s="357"/>
      <c r="Y622" s="357"/>
      <c r="Z622" s="357"/>
      <c r="AA622" s="357"/>
      <c r="AB622" s="357"/>
      <c r="AC622" s="357"/>
      <c r="AD622" s="357"/>
      <c r="AE622" s="357"/>
      <c r="AF622" s="357"/>
      <c r="AG622" s="357"/>
      <c r="AH622" s="357"/>
      <c r="AI622" s="357"/>
      <c r="AJ622" s="357"/>
      <c r="AK622" s="357"/>
      <c r="AL622" s="357"/>
      <c r="AM622" s="357"/>
      <c r="AN622" s="357"/>
      <c r="AO622" s="357"/>
      <c r="AP622" s="357"/>
      <c r="AQ622" s="357"/>
      <c r="AR622" s="357"/>
      <c r="AS622" s="357"/>
      <c r="AT622" s="357"/>
      <c r="AU622" s="357"/>
      <c r="AV622" s="357"/>
      <c r="AW622" s="357"/>
      <c r="AX622" s="357"/>
      <c r="AY622" s="357"/>
      <c r="AZ622" s="357"/>
      <c r="BA622" s="357"/>
      <c r="BB622" s="357"/>
      <c r="BC622" s="357"/>
      <c r="BD622" s="357"/>
    </row>
    <row r="623" spans="7:56">
      <c r="G623" s="357"/>
      <c r="H623" s="357"/>
      <c r="I623" s="357"/>
      <c r="J623" s="357"/>
      <c r="K623" s="357"/>
      <c r="L623" s="357"/>
      <c r="M623" s="357"/>
      <c r="N623" s="357"/>
      <c r="O623" s="357"/>
      <c r="P623" s="357"/>
      <c r="Q623" s="357"/>
      <c r="R623" s="357"/>
      <c r="S623" s="357"/>
      <c r="T623" s="357"/>
      <c r="U623" s="357"/>
      <c r="V623" s="357"/>
      <c r="W623" s="357"/>
      <c r="X623" s="357"/>
      <c r="Y623" s="357"/>
      <c r="Z623" s="357"/>
      <c r="AA623" s="357"/>
      <c r="AB623" s="357"/>
      <c r="AC623" s="357"/>
      <c r="AD623" s="357"/>
      <c r="AE623" s="357"/>
      <c r="AF623" s="357"/>
      <c r="AG623" s="357"/>
      <c r="AH623" s="357"/>
      <c r="AI623" s="357"/>
      <c r="AJ623" s="357"/>
      <c r="AK623" s="357"/>
      <c r="AL623" s="357"/>
      <c r="AM623" s="357"/>
      <c r="AN623" s="357"/>
      <c r="AO623" s="357"/>
      <c r="AP623" s="357"/>
      <c r="AQ623" s="357"/>
      <c r="AR623" s="357"/>
      <c r="AS623" s="357"/>
      <c r="AT623" s="357"/>
      <c r="AU623" s="357"/>
      <c r="AV623" s="357"/>
      <c r="AW623" s="357"/>
      <c r="AX623" s="357"/>
      <c r="AY623" s="357"/>
      <c r="AZ623" s="357"/>
      <c r="BA623" s="357"/>
      <c r="BB623" s="357"/>
      <c r="BC623" s="357"/>
      <c r="BD623" s="357"/>
    </row>
    <row r="624" spans="7:56">
      <c r="G624" s="357"/>
      <c r="H624" s="357"/>
      <c r="I624" s="357"/>
      <c r="J624" s="357"/>
      <c r="K624" s="357"/>
      <c r="L624" s="357"/>
      <c r="M624" s="357"/>
      <c r="N624" s="357"/>
      <c r="O624" s="357"/>
      <c r="P624" s="357"/>
      <c r="Q624" s="357"/>
      <c r="R624" s="357"/>
      <c r="S624" s="357"/>
      <c r="T624" s="357"/>
      <c r="U624" s="357"/>
      <c r="V624" s="357"/>
      <c r="W624" s="357"/>
      <c r="X624" s="357"/>
      <c r="Y624" s="357"/>
      <c r="Z624" s="357"/>
      <c r="AA624" s="357"/>
      <c r="AB624" s="357"/>
      <c r="AC624" s="357"/>
      <c r="AD624" s="357"/>
      <c r="AE624" s="357"/>
      <c r="AF624" s="357"/>
      <c r="AG624" s="357"/>
      <c r="AH624" s="357"/>
      <c r="AI624" s="357"/>
      <c r="AJ624" s="357"/>
      <c r="AK624" s="357"/>
      <c r="AL624" s="357"/>
      <c r="AM624" s="357"/>
      <c r="AN624" s="357"/>
      <c r="AO624" s="357"/>
      <c r="AP624" s="357"/>
      <c r="AQ624" s="357"/>
      <c r="AR624" s="357"/>
      <c r="AS624" s="357"/>
      <c r="AT624" s="357"/>
      <c r="AU624" s="357"/>
      <c r="AV624" s="357"/>
      <c r="AW624" s="357"/>
      <c r="AX624" s="357"/>
      <c r="AY624" s="357"/>
      <c r="AZ624" s="357"/>
      <c r="BA624" s="357"/>
      <c r="BB624" s="357"/>
      <c r="BC624" s="357"/>
      <c r="BD624" s="357"/>
    </row>
    <row r="625" spans="7:56">
      <c r="G625" s="357"/>
      <c r="H625" s="357"/>
      <c r="I625" s="357"/>
      <c r="J625" s="357"/>
      <c r="K625" s="357"/>
      <c r="L625" s="357"/>
      <c r="M625" s="357"/>
      <c r="N625" s="357"/>
      <c r="O625" s="357"/>
      <c r="P625" s="357"/>
      <c r="Q625" s="357"/>
      <c r="R625" s="357"/>
      <c r="S625" s="357"/>
      <c r="T625" s="357"/>
      <c r="U625" s="357"/>
      <c r="V625" s="357"/>
      <c r="W625" s="357"/>
      <c r="X625" s="357"/>
      <c r="Y625" s="357"/>
      <c r="Z625" s="357"/>
      <c r="AA625" s="357"/>
      <c r="AB625" s="357"/>
      <c r="AC625" s="357"/>
      <c r="AD625" s="357"/>
      <c r="AE625" s="357"/>
      <c r="AF625" s="357"/>
      <c r="AG625" s="357"/>
      <c r="AH625" s="357"/>
      <c r="AI625" s="357"/>
      <c r="AJ625" s="357"/>
      <c r="AK625" s="357"/>
      <c r="AL625" s="357"/>
      <c r="AM625" s="357"/>
      <c r="AN625" s="357"/>
      <c r="AO625" s="357"/>
      <c r="AP625" s="357"/>
      <c r="AQ625" s="357"/>
      <c r="AR625" s="357"/>
      <c r="AS625" s="357"/>
      <c r="AT625" s="357"/>
      <c r="AU625" s="357"/>
      <c r="AV625" s="357"/>
      <c r="AW625" s="357"/>
      <c r="AX625" s="357"/>
      <c r="AY625" s="357"/>
      <c r="AZ625" s="357"/>
      <c r="BA625" s="357"/>
      <c r="BB625" s="357"/>
      <c r="BC625" s="357"/>
      <c r="BD625" s="357"/>
    </row>
    <row r="626" spans="7:56">
      <c r="G626" s="357"/>
      <c r="H626" s="357"/>
      <c r="I626" s="357"/>
      <c r="J626" s="357"/>
      <c r="K626" s="357"/>
      <c r="L626" s="357"/>
      <c r="M626" s="357"/>
      <c r="N626" s="357"/>
      <c r="O626" s="357"/>
      <c r="P626" s="357"/>
      <c r="Q626" s="357"/>
      <c r="R626" s="357"/>
      <c r="S626" s="357"/>
      <c r="T626" s="357"/>
      <c r="U626" s="357"/>
      <c r="V626" s="357"/>
      <c r="W626" s="357"/>
      <c r="X626" s="357"/>
      <c r="Y626" s="357"/>
      <c r="Z626" s="357"/>
      <c r="AA626" s="357"/>
      <c r="AB626" s="357"/>
      <c r="AC626" s="357"/>
      <c r="AD626" s="357"/>
      <c r="AE626" s="357"/>
      <c r="AF626" s="357"/>
      <c r="AG626" s="357"/>
      <c r="AH626" s="357"/>
      <c r="AI626" s="357"/>
      <c r="AJ626" s="357"/>
      <c r="AK626" s="357"/>
      <c r="AL626" s="357"/>
      <c r="AM626" s="357"/>
      <c r="AN626" s="357"/>
      <c r="AO626" s="357"/>
      <c r="AP626" s="357"/>
      <c r="AQ626" s="357"/>
      <c r="AR626" s="357"/>
      <c r="AS626" s="357"/>
      <c r="AT626" s="357"/>
      <c r="AU626" s="357"/>
      <c r="AV626" s="357"/>
      <c r="AW626" s="357"/>
      <c r="AX626" s="357"/>
      <c r="AY626" s="357"/>
      <c r="AZ626" s="357"/>
      <c r="BA626" s="357"/>
      <c r="BB626" s="357"/>
      <c r="BC626" s="357"/>
      <c r="BD626" s="357"/>
    </row>
    <row r="627" spans="7:56">
      <c r="G627" s="357"/>
      <c r="H627" s="357"/>
      <c r="I627" s="357"/>
      <c r="J627" s="357"/>
      <c r="K627" s="357"/>
      <c r="L627" s="357"/>
      <c r="M627" s="357"/>
      <c r="N627" s="357"/>
      <c r="O627" s="357"/>
      <c r="P627" s="357"/>
      <c r="Q627" s="357"/>
      <c r="R627" s="357"/>
      <c r="S627" s="357"/>
      <c r="T627" s="357"/>
      <c r="U627" s="357"/>
      <c r="V627" s="357"/>
      <c r="W627" s="357"/>
      <c r="X627" s="357"/>
      <c r="Y627" s="357"/>
      <c r="Z627" s="357"/>
      <c r="AA627" s="357"/>
      <c r="AB627" s="357"/>
      <c r="AC627" s="357"/>
      <c r="AD627" s="357"/>
      <c r="AE627" s="357"/>
      <c r="AF627" s="357"/>
      <c r="AG627" s="357"/>
      <c r="AH627" s="357"/>
      <c r="AI627" s="357"/>
      <c r="AJ627" s="357"/>
      <c r="AK627" s="357"/>
      <c r="AL627" s="357"/>
      <c r="AM627" s="357"/>
      <c r="AN627" s="357"/>
      <c r="AO627" s="357"/>
      <c r="AP627" s="357"/>
      <c r="AQ627" s="357"/>
      <c r="AR627" s="357"/>
      <c r="AS627" s="357"/>
      <c r="AT627" s="357"/>
      <c r="AU627" s="357"/>
      <c r="AV627" s="357"/>
      <c r="AW627" s="357"/>
      <c r="AX627" s="357"/>
      <c r="AY627" s="357"/>
      <c r="AZ627" s="357"/>
      <c r="BA627" s="357"/>
      <c r="BB627" s="357"/>
      <c r="BC627" s="357"/>
      <c r="BD627" s="357"/>
    </row>
    <row r="628" spans="7:56">
      <c r="G628" s="357"/>
      <c r="H628" s="357"/>
      <c r="I628" s="357"/>
      <c r="J628" s="357"/>
      <c r="K628" s="357"/>
      <c r="L628" s="357"/>
      <c r="M628" s="357"/>
      <c r="N628" s="357"/>
      <c r="O628" s="357"/>
      <c r="P628" s="357"/>
      <c r="Q628" s="357"/>
      <c r="R628" s="357"/>
      <c r="S628" s="357"/>
      <c r="T628" s="357"/>
      <c r="U628" s="357"/>
      <c r="V628" s="357"/>
      <c r="W628" s="357"/>
      <c r="X628" s="357"/>
      <c r="Y628" s="357"/>
      <c r="Z628" s="357"/>
      <c r="AA628" s="357"/>
      <c r="AB628" s="357"/>
      <c r="AC628" s="357"/>
      <c r="AD628" s="357"/>
      <c r="AE628" s="357"/>
      <c r="AF628" s="357"/>
      <c r="AG628" s="357"/>
      <c r="AH628" s="357"/>
      <c r="AI628" s="357"/>
      <c r="AJ628" s="357"/>
      <c r="AK628" s="357"/>
      <c r="AL628" s="357"/>
      <c r="AM628" s="357"/>
      <c r="AN628" s="357"/>
      <c r="AO628" s="357"/>
      <c r="AP628" s="357"/>
      <c r="AQ628" s="357"/>
      <c r="AR628" s="357"/>
      <c r="AS628" s="357"/>
      <c r="AT628" s="357"/>
      <c r="AU628" s="357"/>
      <c r="AV628" s="357"/>
      <c r="AW628" s="357"/>
      <c r="AX628" s="357"/>
      <c r="AY628" s="357"/>
      <c r="AZ628" s="357"/>
      <c r="BA628" s="357"/>
      <c r="BB628" s="357"/>
      <c r="BC628" s="357"/>
      <c r="BD628" s="357"/>
    </row>
    <row r="629" spans="7:56">
      <c r="G629" s="357"/>
      <c r="H629" s="357"/>
      <c r="I629" s="357"/>
      <c r="J629" s="357"/>
      <c r="K629" s="357"/>
      <c r="L629" s="357"/>
      <c r="M629" s="357"/>
      <c r="N629" s="357"/>
      <c r="O629" s="357"/>
      <c r="P629" s="357"/>
      <c r="Q629" s="357"/>
      <c r="R629" s="357"/>
      <c r="S629" s="357"/>
      <c r="T629" s="357"/>
      <c r="U629" s="357"/>
      <c r="V629" s="357"/>
      <c r="W629" s="357"/>
      <c r="X629" s="357"/>
      <c r="Y629" s="357"/>
      <c r="Z629" s="357"/>
      <c r="AA629" s="357"/>
      <c r="AB629" s="357"/>
      <c r="AC629" s="357"/>
      <c r="AD629" s="357"/>
      <c r="AE629" s="357"/>
      <c r="AF629" s="357"/>
      <c r="AG629" s="357"/>
      <c r="AH629" s="357"/>
      <c r="AI629" s="357"/>
      <c r="AJ629" s="357"/>
      <c r="AK629" s="357"/>
      <c r="AL629" s="357"/>
      <c r="AM629" s="357"/>
      <c r="AN629" s="357"/>
      <c r="AO629" s="357"/>
      <c r="AP629" s="357"/>
      <c r="AQ629" s="357"/>
      <c r="AR629" s="357"/>
      <c r="AS629" s="357"/>
      <c r="AT629" s="357"/>
      <c r="AU629" s="357"/>
      <c r="AV629" s="357"/>
      <c r="AW629" s="357"/>
      <c r="AX629" s="357"/>
      <c r="AY629" s="357"/>
      <c r="AZ629" s="357"/>
      <c r="BA629" s="357"/>
      <c r="BB629" s="357"/>
      <c r="BC629" s="357"/>
      <c r="BD629" s="357"/>
    </row>
    <row r="630" spans="7:56">
      <c r="G630" s="357"/>
      <c r="H630" s="357"/>
      <c r="I630" s="357"/>
      <c r="J630" s="357"/>
      <c r="K630" s="357"/>
      <c r="L630" s="357"/>
      <c r="M630" s="357"/>
      <c r="N630" s="357"/>
      <c r="O630" s="357"/>
      <c r="P630" s="357"/>
      <c r="Q630" s="357"/>
      <c r="R630" s="357"/>
      <c r="S630" s="357"/>
      <c r="T630" s="357"/>
      <c r="U630" s="357"/>
      <c r="V630" s="357"/>
      <c r="W630" s="357"/>
      <c r="X630" s="357"/>
      <c r="Y630" s="357"/>
      <c r="Z630" s="357"/>
      <c r="AA630" s="357"/>
      <c r="AB630" s="357"/>
      <c r="AC630" s="357"/>
      <c r="AD630" s="357"/>
      <c r="AE630" s="357"/>
      <c r="AF630" s="357"/>
      <c r="AG630" s="357"/>
      <c r="AH630" s="357"/>
      <c r="AI630" s="357"/>
      <c r="AJ630" s="357"/>
      <c r="AK630" s="357"/>
      <c r="AL630" s="357"/>
      <c r="AM630" s="357"/>
      <c r="AN630" s="357"/>
      <c r="AO630" s="357"/>
      <c r="AP630" s="357"/>
      <c r="AQ630" s="357"/>
      <c r="AR630" s="357"/>
      <c r="AS630" s="357"/>
      <c r="AT630" s="357"/>
      <c r="AU630" s="357"/>
      <c r="AV630" s="357"/>
      <c r="AW630" s="357"/>
      <c r="AX630" s="357"/>
      <c r="AY630" s="357"/>
      <c r="AZ630" s="357"/>
      <c r="BA630" s="357"/>
      <c r="BB630" s="357"/>
      <c r="BC630" s="357"/>
      <c r="BD630" s="357"/>
    </row>
    <row r="631" spans="7:56">
      <c r="G631" s="357"/>
      <c r="H631" s="357"/>
      <c r="I631" s="357"/>
      <c r="J631" s="357"/>
      <c r="K631" s="357"/>
      <c r="L631" s="357"/>
      <c r="M631" s="357"/>
      <c r="N631" s="357"/>
      <c r="O631" s="357"/>
      <c r="P631" s="357"/>
      <c r="Q631" s="357"/>
      <c r="R631" s="357"/>
      <c r="S631" s="357"/>
      <c r="T631" s="357"/>
      <c r="U631" s="357"/>
      <c r="V631" s="357"/>
      <c r="W631" s="357"/>
      <c r="X631" s="357"/>
      <c r="Y631" s="357"/>
      <c r="Z631" s="357"/>
      <c r="AA631" s="357"/>
      <c r="AB631" s="357"/>
      <c r="AC631" s="357"/>
      <c r="AD631" s="357"/>
      <c r="AE631" s="357"/>
      <c r="AF631" s="357"/>
      <c r="AG631" s="357"/>
      <c r="AH631" s="357"/>
      <c r="AI631" s="357"/>
      <c r="AJ631" s="357"/>
      <c r="AK631" s="357"/>
      <c r="AL631" s="357"/>
      <c r="AM631" s="357"/>
      <c r="AN631" s="357"/>
      <c r="AO631" s="357"/>
      <c r="AP631" s="357"/>
      <c r="AQ631" s="357"/>
      <c r="AR631" s="357"/>
      <c r="AS631" s="357"/>
      <c r="AT631" s="357"/>
      <c r="AU631" s="357"/>
      <c r="AV631" s="357"/>
      <c r="AW631" s="357"/>
      <c r="AX631" s="357"/>
      <c r="AY631" s="357"/>
      <c r="AZ631" s="357"/>
      <c r="BA631" s="357"/>
      <c r="BB631" s="357"/>
      <c r="BC631" s="357"/>
      <c r="BD631" s="357"/>
    </row>
    <row r="632" spans="7:56">
      <c r="G632" s="357"/>
      <c r="H632" s="357"/>
      <c r="I632" s="357"/>
      <c r="J632" s="357"/>
      <c r="K632" s="357"/>
      <c r="L632" s="357"/>
      <c r="M632" s="357"/>
      <c r="N632" s="357"/>
      <c r="O632" s="357"/>
      <c r="P632" s="357"/>
      <c r="Q632" s="357"/>
      <c r="R632" s="357"/>
      <c r="S632" s="357"/>
      <c r="T632" s="357"/>
      <c r="U632" s="357"/>
      <c r="V632" s="357"/>
      <c r="W632" s="357"/>
      <c r="X632" s="357"/>
      <c r="Y632" s="357"/>
      <c r="Z632" s="357"/>
      <c r="AA632" s="357"/>
      <c r="AB632" s="357"/>
      <c r="AC632" s="357"/>
      <c r="AD632" s="357"/>
      <c r="AE632" s="357"/>
      <c r="AF632" s="357"/>
      <c r="AG632" s="357"/>
      <c r="AH632" s="357"/>
      <c r="AI632" s="357"/>
      <c r="AJ632" s="357"/>
      <c r="AK632" s="357"/>
      <c r="AL632" s="357"/>
      <c r="AM632" s="357"/>
      <c r="AN632" s="357"/>
      <c r="AO632" s="357"/>
      <c r="AP632" s="357"/>
      <c r="AQ632" s="357"/>
      <c r="AR632" s="357"/>
      <c r="AS632" s="357"/>
      <c r="AT632" s="357"/>
      <c r="AU632" s="357"/>
      <c r="AV632" s="357"/>
      <c r="AW632" s="357"/>
      <c r="AX632" s="357"/>
      <c r="AY632" s="357"/>
      <c r="AZ632" s="357"/>
      <c r="BA632" s="357"/>
      <c r="BB632" s="357"/>
      <c r="BC632" s="357"/>
      <c r="BD632" s="357"/>
    </row>
    <row r="633" spans="7:56">
      <c r="G633" s="357"/>
      <c r="H633" s="357"/>
      <c r="I633" s="357"/>
      <c r="J633" s="357"/>
      <c r="K633" s="357"/>
      <c r="L633" s="357"/>
      <c r="M633" s="357"/>
      <c r="N633" s="357"/>
      <c r="O633" s="357"/>
      <c r="P633" s="357"/>
      <c r="Q633" s="357"/>
      <c r="R633" s="357"/>
      <c r="S633" s="357"/>
      <c r="T633" s="357"/>
      <c r="U633" s="357"/>
      <c r="V633" s="357"/>
      <c r="W633" s="357"/>
      <c r="X633" s="357"/>
      <c r="Y633" s="357"/>
      <c r="Z633" s="357"/>
      <c r="AA633" s="357"/>
      <c r="AB633" s="357"/>
      <c r="AC633" s="357"/>
      <c r="AD633" s="357"/>
      <c r="AE633" s="357"/>
      <c r="AF633" s="357"/>
      <c r="AG633" s="357"/>
      <c r="AH633" s="357"/>
      <c r="AI633" s="357"/>
      <c r="AJ633" s="357"/>
      <c r="AK633" s="357"/>
      <c r="AL633" s="357"/>
      <c r="AM633" s="357"/>
      <c r="AN633" s="357"/>
      <c r="AO633" s="357"/>
      <c r="AP633" s="357"/>
      <c r="AQ633" s="357"/>
      <c r="AR633" s="357"/>
      <c r="AS633" s="357"/>
      <c r="AT633" s="357"/>
      <c r="AU633" s="357"/>
      <c r="AV633" s="357"/>
      <c r="AW633" s="357"/>
      <c r="AX633" s="357"/>
      <c r="AY633" s="357"/>
      <c r="AZ633" s="357"/>
      <c r="BA633" s="357"/>
      <c r="BB633" s="357"/>
      <c r="BC633" s="357"/>
      <c r="BD633" s="357"/>
    </row>
    <row r="634" spans="7:56">
      <c r="G634" s="357"/>
      <c r="H634" s="357"/>
      <c r="I634" s="357"/>
      <c r="J634" s="357"/>
      <c r="K634" s="357"/>
      <c r="L634" s="357"/>
      <c r="M634" s="357"/>
      <c r="N634" s="357"/>
      <c r="O634" s="357"/>
      <c r="P634" s="357"/>
      <c r="Q634" s="357"/>
      <c r="R634" s="357"/>
      <c r="S634" s="357"/>
      <c r="T634" s="357"/>
      <c r="U634" s="357"/>
      <c r="V634" s="357"/>
      <c r="W634" s="357"/>
      <c r="X634" s="357"/>
      <c r="Y634" s="357"/>
      <c r="Z634" s="357"/>
      <c r="AA634" s="357"/>
      <c r="AB634" s="357"/>
      <c r="AC634" s="357"/>
      <c r="AD634" s="357"/>
      <c r="AE634" s="357"/>
      <c r="AF634" s="357"/>
      <c r="AG634" s="357"/>
      <c r="AH634" s="357"/>
      <c r="AI634" s="357"/>
      <c r="AJ634" s="357"/>
      <c r="AK634" s="357"/>
      <c r="AL634" s="357"/>
      <c r="AM634" s="357"/>
      <c r="AN634" s="357"/>
      <c r="AO634" s="357"/>
      <c r="AP634" s="357"/>
      <c r="AQ634" s="357"/>
      <c r="AR634" s="357"/>
      <c r="AS634" s="357"/>
      <c r="AT634" s="357"/>
      <c r="AU634" s="357"/>
      <c r="AV634" s="357"/>
      <c r="AW634" s="357"/>
      <c r="AX634" s="357"/>
      <c r="AY634" s="357"/>
      <c r="AZ634" s="357"/>
      <c r="BA634" s="357"/>
      <c r="BB634" s="357"/>
      <c r="BC634" s="357"/>
      <c r="BD634" s="357"/>
    </row>
    <row r="635" spans="7:56">
      <c r="G635" s="357"/>
      <c r="H635" s="357"/>
      <c r="I635" s="357"/>
      <c r="J635" s="357"/>
      <c r="K635" s="357"/>
      <c r="L635" s="357"/>
      <c r="M635" s="357"/>
      <c r="N635" s="357"/>
      <c r="O635" s="357"/>
      <c r="P635" s="357"/>
      <c r="Q635" s="357"/>
      <c r="R635" s="357"/>
      <c r="S635" s="357"/>
      <c r="T635" s="357"/>
      <c r="U635" s="357"/>
      <c r="V635" s="357"/>
      <c r="W635" s="357"/>
      <c r="X635" s="357"/>
      <c r="Y635" s="357"/>
      <c r="Z635" s="357"/>
      <c r="AA635" s="357"/>
      <c r="AB635" s="357"/>
      <c r="AC635" s="357"/>
      <c r="AD635" s="357"/>
      <c r="AE635" s="357"/>
      <c r="AF635" s="357"/>
      <c r="AG635" s="357"/>
      <c r="AH635" s="357"/>
      <c r="AI635" s="357"/>
      <c r="AJ635" s="357"/>
      <c r="AK635" s="357"/>
      <c r="AL635" s="357"/>
      <c r="AM635" s="357"/>
      <c r="AN635" s="357"/>
      <c r="AO635" s="357"/>
      <c r="AP635" s="357"/>
      <c r="AQ635" s="357"/>
      <c r="AR635" s="357"/>
      <c r="AS635" s="357"/>
      <c r="AT635" s="357"/>
      <c r="AU635" s="357"/>
      <c r="AV635" s="357"/>
      <c r="AW635" s="357"/>
      <c r="AX635" s="357"/>
      <c r="AY635" s="357"/>
      <c r="AZ635" s="357"/>
      <c r="BA635" s="357"/>
      <c r="BB635" s="357"/>
      <c r="BC635" s="357"/>
      <c r="BD635" s="357"/>
    </row>
    <row r="636" spans="7:56">
      <c r="G636" s="357"/>
      <c r="H636" s="357"/>
      <c r="I636" s="357"/>
      <c r="J636" s="357"/>
      <c r="K636" s="357"/>
      <c r="L636" s="357"/>
      <c r="M636" s="357"/>
      <c r="N636" s="357"/>
      <c r="O636" s="357"/>
      <c r="P636" s="357"/>
      <c r="Q636" s="357"/>
      <c r="R636" s="357"/>
      <c r="S636" s="357"/>
      <c r="T636" s="357"/>
      <c r="U636" s="357"/>
      <c r="V636" s="357"/>
      <c r="W636" s="357"/>
      <c r="X636" s="357"/>
      <c r="Y636" s="357"/>
      <c r="Z636" s="357"/>
      <c r="AA636" s="357"/>
      <c r="AB636" s="357"/>
      <c r="AC636" s="357"/>
      <c r="AD636" s="357"/>
      <c r="AE636" s="357"/>
      <c r="AF636" s="357"/>
      <c r="AG636" s="357"/>
      <c r="AH636" s="357"/>
      <c r="AI636" s="357"/>
      <c r="AJ636" s="357"/>
      <c r="AK636" s="357"/>
      <c r="AL636" s="357"/>
      <c r="AM636" s="357"/>
      <c r="AN636" s="357"/>
      <c r="AO636" s="357"/>
      <c r="AP636" s="357"/>
      <c r="AQ636" s="357"/>
      <c r="AR636" s="357"/>
      <c r="AS636" s="357"/>
      <c r="AT636" s="357"/>
      <c r="AU636" s="357"/>
      <c r="AV636" s="357"/>
      <c r="AW636" s="357"/>
      <c r="AX636" s="357"/>
      <c r="AY636" s="357"/>
      <c r="AZ636" s="357"/>
      <c r="BA636" s="357"/>
      <c r="BB636" s="357"/>
      <c r="BC636" s="357"/>
      <c r="BD636" s="357"/>
    </row>
    <row r="637" spans="7:56">
      <c r="G637" s="357"/>
      <c r="H637" s="357"/>
      <c r="I637" s="357"/>
      <c r="J637" s="357"/>
      <c r="K637" s="357"/>
      <c r="L637" s="357"/>
      <c r="M637" s="357"/>
      <c r="N637" s="357"/>
      <c r="O637" s="357"/>
      <c r="P637" s="357"/>
      <c r="Q637" s="357"/>
      <c r="R637" s="357"/>
      <c r="S637" s="357"/>
      <c r="T637" s="357"/>
      <c r="U637" s="357"/>
      <c r="V637" s="357"/>
      <c r="W637" s="357"/>
      <c r="X637" s="357"/>
      <c r="Y637" s="357"/>
      <c r="Z637" s="357"/>
      <c r="AA637" s="357"/>
      <c r="AB637" s="357"/>
      <c r="AC637" s="357"/>
      <c r="AD637" s="357"/>
      <c r="AE637" s="357"/>
      <c r="AF637" s="357"/>
      <c r="AG637" s="357"/>
      <c r="AH637" s="357"/>
      <c r="AI637" s="357"/>
      <c r="AJ637" s="357"/>
      <c r="AK637" s="357"/>
      <c r="AL637" s="357"/>
      <c r="AM637" s="357"/>
      <c r="AN637" s="357"/>
      <c r="AO637" s="357"/>
      <c r="AP637" s="357"/>
      <c r="AQ637" s="357"/>
      <c r="AR637" s="357"/>
      <c r="AS637" s="357"/>
      <c r="AT637" s="357"/>
      <c r="AU637" s="357"/>
      <c r="AV637" s="357"/>
      <c r="AW637" s="357"/>
      <c r="AX637" s="357"/>
      <c r="AY637" s="357"/>
      <c r="AZ637" s="357"/>
      <c r="BA637" s="357"/>
      <c r="BB637" s="357"/>
      <c r="BC637" s="357"/>
      <c r="BD637" s="357"/>
    </row>
    <row r="638" spans="7:56">
      <c r="G638" s="357"/>
      <c r="H638" s="357"/>
      <c r="I638" s="357"/>
      <c r="J638" s="357"/>
      <c r="K638" s="357"/>
      <c r="L638" s="357"/>
      <c r="M638" s="357"/>
      <c r="N638" s="357"/>
      <c r="O638" s="357"/>
      <c r="P638" s="357"/>
      <c r="Q638" s="357"/>
      <c r="R638" s="357"/>
      <c r="S638" s="357"/>
      <c r="T638" s="357"/>
      <c r="U638" s="357"/>
      <c r="V638" s="357"/>
      <c r="W638" s="357"/>
      <c r="X638" s="357"/>
      <c r="Y638" s="357"/>
      <c r="Z638" s="357"/>
      <c r="AA638" s="357"/>
      <c r="AB638" s="357"/>
      <c r="AC638" s="357"/>
      <c r="AD638" s="357"/>
      <c r="AE638" s="357"/>
      <c r="AF638" s="357"/>
      <c r="AG638" s="357"/>
      <c r="AH638" s="357"/>
      <c r="AI638" s="357"/>
      <c r="AJ638" s="357"/>
      <c r="AK638" s="357"/>
      <c r="AL638" s="357"/>
      <c r="AM638" s="357"/>
      <c r="AN638" s="357"/>
      <c r="AO638" s="357"/>
      <c r="AP638" s="357"/>
      <c r="AQ638" s="357"/>
      <c r="AR638" s="357"/>
      <c r="AS638" s="357"/>
      <c r="AT638" s="357"/>
      <c r="AU638" s="357"/>
      <c r="AV638" s="357"/>
      <c r="AW638" s="357"/>
      <c r="AX638" s="357"/>
      <c r="AY638" s="357"/>
      <c r="AZ638" s="357"/>
      <c r="BA638" s="357"/>
      <c r="BB638" s="357"/>
      <c r="BC638" s="357"/>
      <c r="BD638" s="357"/>
    </row>
    <row r="639" spans="7:56">
      <c r="G639" s="357"/>
      <c r="H639" s="357"/>
      <c r="I639" s="357"/>
      <c r="J639" s="357"/>
      <c r="K639" s="357"/>
      <c r="L639" s="357"/>
      <c r="M639" s="357"/>
      <c r="N639" s="357"/>
      <c r="O639" s="357"/>
      <c r="P639" s="357"/>
      <c r="Q639" s="357"/>
      <c r="R639" s="357"/>
      <c r="S639" s="357"/>
      <c r="T639" s="357"/>
      <c r="U639" s="357"/>
      <c r="V639" s="357"/>
      <c r="W639" s="357"/>
      <c r="X639" s="357"/>
      <c r="Y639" s="357"/>
      <c r="Z639" s="357"/>
      <c r="AA639" s="357"/>
      <c r="AB639" s="357"/>
      <c r="AC639" s="357"/>
      <c r="AD639" s="357"/>
      <c r="AE639" s="357"/>
      <c r="AF639" s="357"/>
      <c r="AG639" s="357"/>
      <c r="AH639" s="357"/>
      <c r="AI639" s="357"/>
      <c r="AJ639" s="357"/>
      <c r="AK639" s="357"/>
      <c r="AL639" s="357"/>
      <c r="AM639" s="357"/>
      <c r="AN639" s="357"/>
      <c r="AO639" s="357"/>
      <c r="AP639" s="357"/>
      <c r="AQ639" s="357"/>
      <c r="AR639" s="357"/>
      <c r="AS639" s="357"/>
      <c r="AT639" s="357"/>
      <c r="AU639" s="357"/>
      <c r="AV639" s="357"/>
      <c r="AW639" s="357"/>
      <c r="AX639" s="357"/>
      <c r="AY639" s="357"/>
      <c r="AZ639" s="357"/>
      <c r="BA639" s="357"/>
      <c r="BB639" s="357"/>
      <c r="BC639" s="357"/>
      <c r="BD639" s="357"/>
    </row>
    <row r="640" spans="7:56">
      <c r="G640" s="357"/>
      <c r="H640" s="357"/>
      <c r="I640" s="357"/>
      <c r="J640" s="357"/>
      <c r="K640" s="357"/>
      <c r="L640" s="357"/>
      <c r="M640" s="357"/>
      <c r="N640" s="357"/>
      <c r="O640" s="357"/>
      <c r="P640" s="357"/>
      <c r="Q640" s="357"/>
      <c r="R640" s="357"/>
      <c r="S640" s="357"/>
      <c r="T640" s="357"/>
      <c r="U640" s="357"/>
      <c r="V640" s="357"/>
      <c r="W640" s="357"/>
      <c r="X640" s="357"/>
      <c r="Y640" s="357"/>
      <c r="Z640" s="357"/>
      <c r="AA640" s="357"/>
      <c r="AB640" s="357"/>
      <c r="AC640" s="357"/>
      <c r="AD640" s="357"/>
      <c r="AE640" s="357"/>
      <c r="AF640" s="357"/>
      <c r="AG640" s="357"/>
      <c r="AH640" s="357"/>
      <c r="AI640" s="357"/>
      <c r="AJ640" s="357"/>
      <c r="AK640" s="357"/>
      <c r="AL640" s="357"/>
      <c r="AM640" s="357"/>
      <c r="AN640" s="357"/>
      <c r="AO640" s="357"/>
      <c r="AP640" s="357"/>
      <c r="AQ640" s="357"/>
      <c r="AR640" s="357"/>
      <c r="AS640" s="357"/>
      <c r="AT640" s="357"/>
      <c r="AU640" s="357"/>
      <c r="AV640" s="357"/>
      <c r="AW640" s="357"/>
      <c r="AX640" s="357"/>
      <c r="AY640" s="357"/>
      <c r="AZ640" s="357"/>
      <c r="BA640" s="357"/>
      <c r="BB640" s="357"/>
      <c r="BC640" s="357"/>
      <c r="BD640" s="357"/>
    </row>
    <row r="641" spans="7:56">
      <c r="G641" s="357"/>
      <c r="H641" s="357"/>
      <c r="I641" s="357"/>
      <c r="J641" s="357"/>
      <c r="K641" s="357"/>
      <c r="L641" s="357"/>
      <c r="M641" s="357"/>
      <c r="N641" s="357"/>
      <c r="O641" s="357"/>
      <c r="P641" s="357"/>
      <c r="Q641" s="357"/>
      <c r="R641" s="357"/>
      <c r="S641" s="357"/>
      <c r="T641" s="357"/>
      <c r="U641" s="357"/>
      <c r="V641" s="357"/>
      <c r="W641" s="357"/>
      <c r="X641" s="357"/>
      <c r="Y641" s="357"/>
      <c r="Z641" s="357"/>
      <c r="AA641" s="357"/>
      <c r="AB641" s="357"/>
      <c r="AC641" s="357"/>
      <c r="AD641" s="357"/>
      <c r="AE641" s="357"/>
      <c r="AF641" s="357"/>
      <c r="AG641" s="357"/>
      <c r="AH641" s="357"/>
      <c r="AI641" s="357"/>
      <c r="AJ641" s="357"/>
      <c r="AK641" s="357"/>
      <c r="AL641" s="357"/>
      <c r="AM641" s="357"/>
      <c r="AN641" s="357"/>
      <c r="AO641" s="357"/>
      <c r="AP641" s="357"/>
      <c r="AQ641" s="357"/>
      <c r="AR641" s="357"/>
      <c r="AS641" s="357"/>
      <c r="AT641" s="357"/>
      <c r="AU641" s="357"/>
      <c r="AV641" s="357"/>
      <c r="AW641" s="357"/>
      <c r="AX641" s="357"/>
      <c r="AY641" s="357"/>
      <c r="AZ641" s="357"/>
      <c r="BA641" s="357"/>
      <c r="BB641" s="357"/>
      <c r="BC641" s="357"/>
      <c r="BD641" s="357"/>
    </row>
    <row r="642" spans="7:56">
      <c r="G642" s="357"/>
      <c r="H642" s="357"/>
      <c r="I642" s="357"/>
      <c r="J642" s="357"/>
      <c r="K642" s="357"/>
      <c r="L642" s="357"/>
      <c r="M642" s="357"/>
      <c r="N642" s="357"/>
      <c r="O642" s="357"/>
      <c r="P642" s="357"/>
      <c r="Q642" s="357"/>
      <c r="R642" s="357"/>
      <c r="S642" s="357"/>
      <c r="T642" s="357"/>
      <c r="U642" s="357"/>
      <c r="V642" s="357"/>
      <c r="W642" s="357"/>
      <c r="X642" s="357"/>
      <c r="Y642" s="357"/>
      <c r="Z642" s="357"/>
      <c r="AA642" s="357"/>
      <c r="AB642" s="357"/>
      <c r="AC642" s="357"/>
      <c r="AD642" s="357"/>
      <c r="AE642" s="357"/>
      <c r="AF642" s="357"/>
      <c r="AG642" s="357"/>
      <c r="AH642" s="357"/>
      <c r="AI642" s="357"/>
      <c r="AJ642" s="357"/>
      <c r="AK642" s="357"/>
      <c r="AL642" s="357"/>
      <c r="AM642" s="357"/>
      <c r="AN642" s="357"/>
      <c r="AO642" s="357"/>
      <c r="AP642" s="357"/>
      <c r="AQ642" s="357"/>
      <c r="AR642" s="357"/>
      <c r="AS642" s="357"/>
      <c r="AT642" s="357"/>
      <c r="AU642" s="357"/>
      <c r="AV642" s="357"/>
      <c r="AW642" s="357"/>
      <c r="AX642" s="357"/>
      <c r="AY642" s="357"/>
      <c r="AZ642" s="357"/>
      <c r="BA642" s="357"/>
      <c r="BB642" s="357"/>
      <c r="BC642" s="357"/>
      <c r="BD642" s="357"/>
    </row>
    <row r="643" spans="7:56">
      <c r="G643" s="357"/>
      <c r="H643" s="357"/>
      <c r="I643" s="357"/>
      <c r="J643" s="357"/>
      <c r="K643" s="357"/>
      <c r="L643" s="357"/>
      <c r="M643" s="357"/>
      <c r="N643" s="357"/>
      <c r="O643" s="357"/>
      <c r="P643" s="357"/>
      <c r="Q643" s="357"/>
      <c r="R643" s="357"/>
      <c r="S643" s="357"/>
      <c r="T643" s="357"/>
      <c r="U643" s="357"/>
      <c r="V643" s="357"/>
      <c r="W643" s="357"/>
      <c r="X643" s="357"/>
      <c r="Y643" s="357"/>
      <c r="Z643" s="357"/>
      <c r="AA643" s="357"/>
      <c r="AB643" s="357"/>
      <c r="AC643" s="357"/>
      <c r="AD643" s="357"/>
      <c r="AE643" s="357"/>
      <c r="AF643" s="357"/>
      <c r="AG643" s="357"/>
      <c r="AH643" s="357"/>
      <c r="AI643" s="357"/>
      <c r="AJ643" s="357"/>
      <c r="AK643" s="357"/>
      <c r="AL643" s="357"/>
      <c r="AM643" s="357"/>
      <c r="AN643" s="357"/>
      <c r="AO643" s="357"/>
      <c r="AP643" s="357"/>
      <c r="AQ643" s="357"/>
      <c r="AR643" s="357"/>
      <c r="AS643" s="357"/>
      <c r="AT643" s="357"/>
      <c r="AU643" s="357"/>
      <c r="AV643" s="357"/>
      <c r="AW643" s="357"/>
      <c r="AX643" s="357"/>
      <c r="AY643" s="357"/>
      <c r="AZ643" s="357"/>
      <c r="BA643" s="357"/>
      <c r="BB643" s="357"/>
      <c r="BC643" s="357"/>
      <c r="BD643" s="357"/>
    </row>
    <row r="644" spans="7:56">
      <c r="G644" s="357"/>
      <c r="H644" s="357"/>
      <c r="I644" s="357"/>
      <c r="J644" s="357"/>
      <c r="K644" s="357"/>
      <c r="L644" s="357"/>
      <c r="M644" s="357"/>
      <c r="N644" s="357"/>
      <c r="O644" s="357"/>
      <c r="P644" s="357"/>
      <c r="Q644" s="357"/>
      <c r="R644" s="357"/>
      <c r="S644" s="357"/>
      <c r="T644" s="357"/>
      <c r="U644" s="357"/>
      <c r="V644" s="357"/>
      <c r="W644" s="357"/>
      <c r="X644" s="357"/>
      <c r="Y644" s="357"/>
      <c r="Z644" s="357"/>
      <c r="AA644" s="357"/>
      <c r="AB644" s="357"/>
      <c r="AC644" s="357"/>
      <c r="AD644" s="357"/>
      <c r="AE644" s="357"/>
      <c r="AF644" s="357"/>
      <c r="AG644" s="357"/>
      <c r="AH644" s="357"/>
      <c r="AI644" s="357"/>
      <c r="AJ644" s="357"/>
      <c r="AK644" s="357"/>
      <c r="AL644" s="357"/>
      <c r="AM644" s="357"/>
      <c r="AN644" s="357"/>
      <c r="AO644" s="357"/>
      <c r="AP644" s="357"/>
      <c r="AQ644" s="357"/>
      <c r="AR644" s="357"/>
      <c r="AS644" s="357"/>
      <c r="AT644" s="357"/>
      <c r="AU644" s="357"/>
      <c r="AV644" s="357"/>
      <c r="AW644" s="357"/>
      <c r="AX644" s="357"/>
      <c r="AY644" s="357"/>
      <c r="AZ644" s="357"/>
      <c r="BA644" s="357"/>
      <c r="BB644" s="357"/>
      <c r="BC644" s="357"/>
      <c r="BD644" s="357"/>
    </row>
    <row r="645" spans="7:56">
      <c r="G645" s="357"/>
      <c r="H645" s="357"/>
      <c r="I645" s="357"/>
      <c r="J645" s="357"/>
      <c r="K645" s="357"/>
      <c r="L645" s="357"/>
      <c r="M645" s="357"/>
      <c r="N645" s="357"/>
      <c r="O645" s="357"/>
      <c r="P645" s="357"/>
      <c r="Q645" s="357"/>
      <c r="R645" s="357"/>
      <c r="S645" s="357"/>
      <c r="T645" s="357"/>
      <c r="U645" s="357"/>
      <c r="V645" s="357"/>
      <c r="W645" s="357"/>
      <c r="X645" s="357"/>
      <c r="Y645" s="357"/>
      <c r="Z645" s="357"/>
      <c r="AA645" s="357"/>
      <c r="AB645" s="357"/>
      <c r="AC645" s="357"/>
      <c r="AD645" s="357"/>
      <c r="AE645" s="357"/>
      <c r="AF645" s="357"/>
      <c r="AG645" s="357"/>
      <c r="AH645" s="357"/>
      <c r="AI645" s="357"/>
      <c r="AJ645" s="357"/>
      <c r="AK645" s="357"/>
      <c r="AL645" s="357"/>
      <c r="AM645" s="357"/>
      <c r="AN645" s="357"/>
      <c r="AO645" s="357"/>
      <c r="AP645" s="357"/>
      <c r="AQ645" s="357"/>
      <c r="AR645" s="357"/>
      <c r="AS645" s="357"/>
      <c r="AT645" s="357"/>
      <c r="AU645" s="357"/>
      <c r="AV645" s="357"/>
      <c r="AW645" s="357"/>
      <c r="AX645" s="357"/>
      <c r="AY645" s="357"/>
      <c r="AZ645" s="357"/>
      <c r="BA645" s="357"/>
      <c r="BB645" s="357"/>
      <c r="BC645" s="357"/>
      <c r="BD645" s="357"/>
    </row>
    <row r="646" spans="7:56">
      <c r="G646" s="357"/>
      <c r="H646" s="357"/>
      <c r="I646" s="357"/>
      <c r="J646" s="357"/>
      <c r="K646" s="357"/>
      <c r="L646" s="357"/>
      <c r="M646" s="357"/>
      <c r="N646" s="357"/>
      <c r="O646" s="357"/>
      <c r="P646" s="357"/>
      <c r="Q646" s="357"/>
      <c r="R646" s="357"/>
      <c r="S646" s="357"/>
      <c r="T646" s="357"/>
      <c r="U646" s="357"/>
      <c r="V646" s="357"/>
      <c r="W646" s="357"/>
      <c r="X646" s="357"/>
      <c r="Y646" s="357"/>
      <c r="Z646" s="357"/>
      <c r="AA646" s="357"/>
      <c r="AB646" s="357"/>
      <c r="AC646" s="357"/>
      <c r="AD646" s="357"/>
      <c r="AE646" s="357"/>
      <c r="AF646" s="357"/>
      <c r="AG646" s="357"/>
      <c r="AH646" s="357"/>
      <c r="AI646" s="357"/>
      <c r="AJ646" s="357"/>
      <c r="AK646" s="357"/>
      <c r="AL646" s="357"/>
      <c r="AM646" s="357"/>
      <c r="AN646" s="357"/>
      <c r="AO646" s="357"/>
      <c r="AP646" s="357"/>
      <c r="AQ646" s="357"/>
      <c r="AR646" s="357"/>
      <c r="AS646" s="357"/>
      <c r="AT646" s="357"/>
      <c r="AU646" s="357"/>
      <c r="AV646" s="357"/>
      <c r="AW646" s="357"/>
      <c r="AX646" s="357"/>
      <c r="AY646" s="357"/>
      <c r="AZ646" s="357"/>
      <c r="BA646" s="357"/>
      <c r="BB646" s="357"/>
      <c r="BC646" s="357"/>
      <c r="BD646" s="357"/>
    </row>
    <row r="647" spans="7:56">
      <c r="G647" s="357"/>
      <c r="H647" s="357"/>
      <c r="I647" s="357"/>
      <c r="J647" s="357"/>
      <c r="K647" s="357"/>
      <c r="L647" s="357"/>
      <c r="M647" s="357"/>
      <c r="N647" s="357"/>
      <c r="O647" s="357"/>
      <c r="P647" s="357"/>
      <c r="Q647" s="357"/>
      <c r="R647" s="357"/>
      <c r="S647" s="357"/>
      <c r="T647" s="357"/>
      <c r="U647" s="357"/>
      <c r="V647" s="357"/>
      <c r="W647" s="357"/>
      <c r="X647" s="357"/>
      <c r="Y647" s="357"/>
      <c r="Z647" s="357"/>
      <c r="AA647" s="357"/>
      <c r="AB647" s="357"/>
      <c r="AC647" s="357"/>
      <c r="AD647" s="357"/>
      <c r="AE647" s="357"/>
      <c r="AF647" s="357"/>
      <c r="AG647" s="357"/>
      <c r="AH647" s="357"/>
      <c r="AI647" s="357"/>
      <c r="AJ647" s="357"/>
      <c r="AK647" s="357"/>
      <c r="AL647" s="357"/>
      <c r="AM647" s="357"/>
      <c r="AN647" s="357"/>
      <c r="AO647" s="357"/>
      <c r="AP647" s="357"/>
      <c r="AQ647" s="357"/>
      <c r="AR647" s="357"/>
      <c r="AS647" s="357"/>
      <c r="AT647" s="357"/>
      <c r="AU647" s="357"/>
      <c r="AV647" s="357"/>
      <c r="AW647" s="357"/>
      <c r="AX647" s="357"/>
      <c r="AY647" s="357"/>
      <c r="AZ647" s="357"/>
      <c r="BA647" s="357"/>
      <c r="BB647" s="357"/>
      <c r="BC647" s="357"/>
      <c r="BD647" s="357"/>
    </row>
    <row r="648" spans="7:56">
      <c r="G648" s="357"/>
      <c r="H648" s="357"/>
      <c r="I648" s="357"/>
      <c r="J648" s="357"/>
      <c r="K648" s="357"/>
      <c r="L648" s="357"/>
      <c r="M648" s="357"/>
      <c r="N648" s="357"/>
      <c r="O648" s="357"/>
      <c r="P648" s="357"/>
      <c r="Q648" s="357"/>
      <c r="R648" s="357"/>
      <c r="S648" s="357"/>
      <c r="T648" s="357"/>
      <c r="U648" s="357"/>
      <c r="V648" s="357"/>
      <c r="W648" s="357"/>
      <c r="X648" s="357"/>
      <c r="Y648" s="357"/>
      <c r="Z648" s="357"/>
      <c r="AA648" s="357"/>
      <c r="AB648" s="357"/>
      <c r="AC648" s="357"/>
      <c r="AD648" s="357"/>
      <c r="AE648" s="357"/>
      <c r="AF648" s="357"/>
      <c r="AG648" s="357"/>
      <c r="AH648" s="357"/>
      <c r="AI648" s="357"/>
      <c r="AJ648" s="357"/>
      <c r="AK648" s="357"/>
      <c r="AL648" s="357"/>
      <c r="AM648" s="357"/>
      <c r="AN648" s="357"/>
      <c r="AO648" s="357"/>
      <c r="AP648" s="357"/>
      <c r="AQ648" s="357"/>
      <c r="AR648" s="357"/>
      <c r="AS648" s="357"/>
      <c r="AT648" s="357"/>
      <c r="AU648" s="357"/>
      <c r="AV648" s="357"/>
      <c r="AW648" s="357"/>
      <c r="AX648" s="357"/>
      <c r="AY648" s="357"/>
      <c r="AZ648" s="357"/>
      <c r="BA648" s="357"/>
      <c r="BB648" s="357"/>
      <c r="BC648" s="357"/>
      <c r="BD648" s="357"/>
    </row>
    <row r="649" spans="7:56">
      <c r="G649" s="357"/>
      <c r="H649" s="357"/>
      <c r="I649" s="357"/>
      <c r="J649" s="357"/>
      <c r="K649" s="357"/>
      <c r="L649" s="357"/>
      <c r="M649" s="357"/>
      <c r="N649" s="357"/>
      <c r="O649" s="357"/>
      <c r="P649" s="357"/>
      <c r="Q649" s="357"/>
      <c r="R649" s="357"/>
      <c r="S649" s="357"/>
      <c r="T649" s="357"/>
      <c r="U649" s="357"/>
      <c r="V649" s="357"/>
      <c r="W649" s="357"/>
      <c r="X649" s="357"/>
      <c r="Y649" s="357"/>
      <c r="Z649" s="357"/>
      <c r="AA649" s="357"/>
      <c r="AB649" s="357"/>
      <c r="AC649" s="357"/>
      <c r="AD649" s="357"/>
      <c r="AE649" s="357"/>
      <c r="AF649" s="357"/>
      <c r="AG649" s="357"/>
      <c r="AH649" s="357"/>
      <c r="AI649" s="357"/>
      <c r="AJ649" s="357"/>
      <c r="AK649" s="357"/>
      <c r="AL649" s="357"/>
      <c r="AM649" s="357"/>
      <c r="AN649" s="357"/>
      <c r="AO649" s="357"/>
      <c r="AP649" s="357"/>
      <c r="AQ649" s="357"/>
      <c r="AR649" s="357"/>
      <c r="AS649" s="357"/>
      <c r="AT649" s="357"/>
      <c r="AU649" s="357"/>
      <c r="AV649" s="357"/>
      <c r="AW649" s="357"/>
      <c r="AX649" s="357"/>
      <c r="AY649" s="357"/>
      <c r="AZ649" s="357"/>
      <c r="BA649" s="357"/>
      <c r="BB649" s="357"/>
      <c r="BC649" s="357"/>
      <c r="BD649" s="357"/>
    </row>
    <row r="650" spans="7:56">
      <c r="G650" s="357"/>
      <c r="H650" s="357"/>
      <c r="I650" s="357"/>
      <c r="J650" s="357"/>
      <c r="K650" s="357"/>
      <c r="L650" s="357"/>
      <c r="M650" s="357"/>
      <c r="N650" s="357"/>
      <c r="O650" s="357"/>
      <c r="P650" s="357"/>
      <c r="Q650" s="357"/>
      <c r="R650" s="357"/>
      <c r="S650" s="357"/>
      <c r="T650" s="357"/>
      <c r="U650" s="357"/>
      <c r="V650" s="357"/>
      <c r="W650" s="357"/>
      <c r="X650" s="357"/>
      <c r="Y650" s="357"/>
      <c r="Z650" s="357"/>
      <c r="AA650" s="357"/>
      <c r="AB650" s="357"/>
      <c r="AC650" s="357"/>
      <c r="AD650" s="357"/>
      <c r="AE650" s="357"/>
      <c r="AF650" s="357"/>
      <c r="AG650" s="357"/>
      <c r="AH650" s="357"/>
      <c r="AI650" s="357"/>
      <c r="AJ650" s="357"/>
      <c r="AK650" s="357"/>
      <c r="AL650" s="357"/>
      <c r="AM650" s="357"/>
      <c r="AN650" s="357"/>
      <c r="AO650" s="357"/>
      <c r="AP650" s="357"/>
      <c r="AQ650" s="357"/>
      <c r="AR650" s="357"/>
      <c r="AS650" s="357"/>
      <c r="AT650" s="357"/>
      <c r="AU650" s="357"/>
      <c r="AV650" s="357"/>
      <c r="AW650" s="357"/>
      <c r="AX650" s="357"/>
      <c r="AY650" s="357"/>
      <c r="AZ650" s="357"/>
      <c r="BA650" s="357"/>
      <c r="BB650" s="357"/>
      <c r="BC650" s="357"/>
      <c r="BD650" s="357"/>
    </row>
    <row r="651" spans="7:56">
      <c r="G651" s="357"/>
      <c r="H651" s="357"/>
      <c r="I651" s="357"/>
      <c r="J651" s="357"/>
      <c r="K651" s="357"/>
      <c r="L651" s="357"/>
      <c r="M651" s="357"/>
      <c r="N651" s="357"/>
      <c r="O651" s="357"/>
      <c r="P651" s="357"/>
      <c r="Q651" s="357"/>
      <c r="R651" s="357"/>
      <c r="S651" s="357"/>
      <c r="T651" s="357"/>
      <c r="U651" s="357"/>
      <c r="V651" s="357"/>
      <c r="W651" s="357"/>
      <c r="X651" s="357"/>
      <c r="Y651" s="357"/>
      <c r="Z651" s="357"/>
      <c r="AA651" s="357"/>
      <c r="AB651" s="357"/>
      <c r="AC651" s="357"/>
      <c r="AD651" s="357"/>
      <c r="AE651" s="357"/>
      <c r="AF651" s="357"/>
      <c r="AG651" s="357"/>
      <c r="AH651" s="357"/>
      <c r="AI651" s="357"/>
      <c r="AJ651" s="357"/>
      <c r="AK651" s="357"/>
      <c r="AL651" s="357"/>
      <c r="AM651" s="357"/>
      <c r="AN651" s="357"/>
      <c r="AO651" s="357"/>
      <c r="AP651" s="357"/>
      <c r="AQ651" s="357"/>
      <c r="AR651" s="357"/>
      <c r="AS651" s="357"/>
      <c r="AT651" s="357"/>
      <c r="AU651" s="357"/>
      <c r="AV651" s="357"/>
      <c r="AW651" s="357"/>
      <c r="AX651" s="357"/>
      <c r="AY651" s="357"/>
      <c r="AZ651" s="357"/>
      <c r="BA651" s="357"/>
      <c r="BB651" s="357"/>
      <c r="BC651" s="357"/>
      <c r="BD651" s="357"/>
    </row>
    <row r="652" spans="7:56">
      <c r="G652" s="357"/>
      <c r="H652" s="357"/>
      <c r="I652" s="357"/>
      <c r="J652" s="357"/>
      <c r="K652" s="357"/>
      <c r="L652" s="357"/>
      <c r="M652" s="357"/>
      <c r="N652" s="357"/>
      <c r="O652" s="357"/>
      <c r="P652" s="357"/>
      <c r="Q652" s="357"/>
      <c r="R652" s="357"/>
      <c r="S652" s="357"/>
      <c r="T652" s="357"/>
      <c r="U652" s="357"/>
      <c r="V652" s="357"/>
      <c r="W652" s="357"/>
      <c r="X652" s="357"/>
      <c r="Y652" s="357"/>
      <c r="Z652" s="357"/>
      <c r="AA652" s="357"/>
      <c r="AB652" s="357"/>
      <c r="AC652" s="357"/>
      <c r="AD652" s="357"/>
      <c r="AE652" s="357"/>
      <c r="AF652" s="357"/>
      <c r="AG652" s="357"/>
      <c r="AH652" s="357"/>
      <c r="AI652" s="357"/>
      <c r="AJ652" s="357"/>
      <c r="AK652" s="357"/>
      <c r="AL652" s="357"/>
      <c r="AM652" s="357"/>
      <c r="AN652" s="357"/>
      <c r="AO652" s="357"/>
      <c r="AP652" s="357"/>
      <c r="AQ652" s="357"/>
      <c r="AR652" s="357"/>
      <c r="AS652" s="357"/>
      <c r="AT652" s="357"/>
      <c r="AU652" s="357"/>
      <c r="AV652" s="357"/>
      <c r="AW652" s="357"/>
      <c r="AX652" s="357"/>
      <c r="AY652" s="357"/>
      <c r="AZ652" s="357"/>
      <c r="BA652" s="357"/>
      <c r="BB652" s="357"/>
      <c r="BC652" s="357"/>
      <c r="BD652" s="357"/>
    </row>
    <row r="653" spans="7:56">
      <c r="G653" s="357"/>
      <c r="H653" s="357"/>
      <c r="I653" s="357"/>
      <c r="J653" s="357"/>
      <c r="K653" s="357"/>
      <c r="L653" s="357"/>
      <c r="M653" s="357"/>
      <c r="N653" s="357"/>
      <c r="O653" s="357"/>
      <c r="P653" s="357"/>
      <c r="Q653" s="357"/>
      <c r="R653" s="357"/>
      <c r="S653" s="357"/>
      <c r="T653" s="357"/>
      <c r="U653" s="357"/>
      <c r="V653" s="357"/>
      <c r="W653" s="357"/>
      <c r="X653" s="357"/>
      <c r="Y653" s="357"/>
      <c r="Z653" s="357"/>
      <c r="AA653" s="357"/>
      <c r="AB653" s="357"/>
      <c r="AC653" s="357"/>
      <c r="AD653" s="357"/>
      <c r="AE653" s="357"/>
      <c r="AF653" s="357"/>
      <c r="AG653" s="357"/>
      <c r="AH653" s="357"/>
      <c r="AI653" s="357"/>
      <c r="AJ653" s="357"/>
      <c r="AK653" s="357"/>
      <c r="AL653" s="357"/>
      <c r="AM653" s="357"/>
      <c r="AN653" s="357"/>
      <c r="AO653" s="357"/>
      <c r="AP653" s="357"/>
      <c r="AQ653" s="357"/>
      <c r="AR653" s="357"/>
      <c r="AS653" s="357"/>
      <c r="AT653" s="357"/>
      <c r="AU653" s="357"/>
      <c r="AV653" s="357"/>
      <c r="AW653" s="357"/>
      <c r="AX653" s="357"/>
      <c r="AY653" s="357"/>
      <c r="AZ653" s="357"/>
      <c r="BA653" s="357"/>
      <c r="BB653" s="357"/>
      <c r="BC653" s="357"/>
      <c r="BD653" s="357"/>
    </row>
    <row r="654" spans="7:56">
      <c r="G654" s="357"/>
      <c r="H654" s="357"/>
      <c r="I654" s="357"/>
      <c r="J654" s="357"/>
      <c r="K654" s="357"/>
      <c r="L654" s="357"/>
      <c r="M654" s="357"/>
      <c r="N654" s="357"/>
      <c r="O654" s="357"/>
      <c r="P654" s="357"/>
      <c r="Q654" s="357"/>
      <c r="R654" s="357"/>
      <c r="S654" s="357"/>
      <c r="T654" s="357"/>
      <c r="U654" s="357"/>
      <c r="V654" s="357"/>
      <c r="W654" s="357"/>
      <c r="X654" s="357"/>
      <c r="Y654" s="357"/>
      <c r="Z654" s="357"/>
      <c r="AA654" s="357"/>
      <c r="AB654" s="357"/>
      <c r="AC654" s="357"/>
      <c r="AD654" s="357"/>
      <c r="AE654" s="357"/>
      <c r="AF654" s="357"/>
      <c r="AG654" s="357"/>
      <c r="AH654" s="357"/>
      <c r="AI654" s="357"/>
      <c r="AJ654" s="357"/>
      <c r="AK654" s="357"/>
      <c r="AL654" s="357"/>
      <c r="AM654" s="357"/>
      <c r="AN654" s="357"/>
      <c r="AO654" s="357"/>
      <c r="AP654" s="357"/>
      <c r="AQ654" s="357"/>
      <c r="AR654" s="357"/>
      <c r="AS654" s="357"/>
      <c r="AT654" s="357"/>
      <c r="AU654" s="357"/>
      <c r="AV654" s="357"/>
      <c r="AW654" s="357"/>
      <c r="AX654" s="357"/>
      <c r="AY654" s="357"/>
      <c r="AZ654" s="357"/>
      <c r="BA654" s="357"/>
      <c r="BB654" s="357"/>
      <c r="BC654" s="357"/>
      <c r="BD654" s="357"/>
    </row>
    <row r="655" spans="7:56">
      <c r="G655" s="357"/>
      <c r="H655" s="357"/>
      <c r="I655" s="357"/>
      <c r="J655" s="357"/>
      <c r="K655" s="357"/>
      <c r="L655" s="357"/>
      <c r="M655" s="357"/>
      <c r="N655" s="357"/>
      <c r="O655" s="357"/>
      <c r="P655" s="357"/>
      <c r="Q655" s="357"/>
      <c r="R655" s="357"/>
      <c r="S655" s="357"/>
      <c r="T655" s="357"/>
      <c r="U655" s="357"/>
      <c r="V655" s="357"/>
      <c r="W655" s="357"/>
      <c r="X655" s="357"/>
      <c r="Y655" s="357"/>
      <c r="Z655" s="357"/>
      <c r="AA655" s="357"/>
      <c r="AB655" s="357"/>
      <c r="AC655" s="357"/>
      <c r="AD655" s="357"/>
      <c r="AE655" s="357"/>
      <c r="AF655" s="357"/>
      <c r="AG655" s="357"/>
      <c r="AH655" s="357"/>
      <c r="AI655" s="357"/>
      <c r="AJ655" s="357"/>
      <c r="AK655" s="357"/>
      <c r="AL655" s="357"/>
      <c r="AM655" s="357"/>
      <c r="AN655" s="357"/>
      <c r="AO655" s="357"/>
      <c r="AP655" s="357"/>
      <c r="AQ655" s="357"/>
      <c r="AR655" s="357"/>
      <c r="AS655" s="357"/>
      <c r="AT655" s="357"/>
      <c r="AU655" s="357"/>
      <c r="AV655" s="357"/>
      <c r="AW655" s="357"/>
      <c r="AX655" s="357"/>
      <c r="AY655" s="357"/>
      <c r="AZ655" s="357"/>
      <c r="BA655" s="357"/>
      <c r="BB655" s="357"/>
      <c r="BC655" s="357"/>
      <c r="BD655" s="357"/>
    </row>
    <row r="656" spans="7:56">
      <c r="G656" s="357"/>
      <c r="H656" s="357"/>
      <c r="I656" s="357"/>
      <c r="J656" s="357"/>
      <c r="K656" s="357"/>
      <c r="L656" s="357"/>
      <c r="M656" s="357"/>
      <c r="N656" s="357"/>
      <c r="O656" s="357"/>
      <c r="P656" s="357"/>
      <c r="Q656" s="357"/>
      <c r="R656" s="357"/>
      <c r="S656" s="357"/>
      <c r="T656" s="357"/>
      <c r="U656" s="357"/>
      <c r="V656" s="357"/>
      <c r="W656" s="357"/>
      <c r="X656" s="357"/>
      <c r="Y656" s="357"/>
      <c r="Z656" s="357"/>
      <c r="AA656" s="357"/>
      <c r="AB656" s="357"/>
      <c r="AC656" s="357"/>
      <c r="AD656" s="357"/>
      <c r="AE656" s="357"/>
      <c r="AF656" s="357"/>
      <c r="AG656" s="357"/>
      <c r="AH656" s="357"/>
      <c r="AI656" s="357"/>
      <c r="AJ656" s="357"/>
      <c r="AK656" s="357"/>
      <c r="AL656" s="357"/>
      <c r="AM656" s="357"/>
      <c r="AN656" s="357"/>
      <c r="AO656" s="357"/>
      <c r="AP656" s="357"/>
      <c r="AQ656" s="357"/>
      <c r="AR656" s="357"/>
      <c r="AS656" s="357"/>
      <c r="AT656" s="357"/>
      <c r="AU656" s="357"/>
      <c r="AV656" s="357"/>
      <c r="AW656" s="357"/>
      <c r="AX656" s="357"/>
      <c r="AY656" s="357"/>
      <c r="AZ656" s="357"/>
      <c r="BA656" s="357"/>
      <c r="BB656" s="357"/>
      <c r="BC656" s="357"/>
      <c r="BD656" s="357"/>
    </row>
    <row r="657" spans="7:56">
      <c r="G657" s="357"/>
      <c r="H657" s="357"/>
      <c r="I657" s="357"/>
      <c r="J657" s="357"/>
      <c r="K657" s="357"/>
      <c r="L657" s="357"/>
      <c r="M657" s="357"/>
      <c r="N657" s="357"/>
      <c r="O657" s="357"/>
      <c r="P657" s="357"/>
      <c r="Q657" s="357"/>
      <c r="R657" s="357"/>
      <c r="S657" s="357"/>
      <c r="T657" s="357"/>
      <c r="U657" s="357"/>
      <c r="V657" s="357"/>
      <c r="W657" s="357"/>
      <c r="X657" s="357"/>
      <c r="Y657" s="357"/>
      <c r="Z657" s="357"/>
      <c r="AA657" s="357"/>
      <c r="AB657" s="357"/>
      <c r="AC657" s="357"/>
      <c r="AD657" s="357"/>
      <c r="AE657" s="357"/>
      <c r="AF657" s="357"/>
      <c r="AG657" s="357"/>
      <c r="AH657" s="357"/>
      <c r="AI657" s="357"/>
      <c r="AJ657" s="357"/>
      <c r="AK657" s="357"/>
      <c r="AL657" s="357"/>
      <c r="AM657" s="357"/>
      <c r="AN657" s="357"/>
      <c r="AO657" s="357"/>
      <c r="AP657" s="357"/>
      <c r="AQ657" s="357"/>
      <c r="AR657" s="357"/>
      <c r="AS657" s="357"/>
      <c r="AT657" s="357"/>
      <c r="AU657" s="357"/>
      <c r="AV657" s="357"/>
      <c r="AW657" s="357"/>
      <c r="AX657" s="357"/>
      <c r="AY657" s="357"/>
      <c r="AZ657" s="357"/>
      <c r="BA657" s="357"/>
      <c r="BB657" s="357"/>
      <c r="BC657" s="357"/>
      <c r="BD657" s="357"/>
    </row>
    <row r="658" spans="7:56">
      <c r="G658" s="357"/>
      <c r="H658" s="357"/>
      <c r="I658" s="357"/>
      <c r="J658" s="357"/>
      <c r="K658" s="357"/>
      <c r="L658" s="357"/>
      <c r="M658" s="357"/>
      <c r="N658" s="357"/>
      <c r="O658" s="357"/>
      <c r="P658" s="357"/>
      <c r="Q658" s="357"/>
      <c r="R658" s="357"/>
      <c r="S658" s="357"/>
      <c r="T658" s="357"/>
      <c r="U658" s="357"/>
      <c r="V658" s="357"/>
      <c r="W658" s="357"/>
      <c r="X658" s="357"/>
      <c r="Y658" s="357"/>
      <c r="Z658" s="357"/>
      <c r="AA658" s="357"/>
      <c r="AB658" s="357"/>
      <c r="AC658" s="357"/>
      <c r="AD658" s="357"/>
      <c r="AE658" s="357"/>
      <c r="AF658" s="357"/>
      <c r="AG658" s="357"/>
      <c r="AH658" s="357"/>
      <c r="AI658" s="357"/>
      <c r="AJ658" s="357"/>
      <c r="AK658" s="357"/>
      <c r="AL658" s="357"/>
      <c r="AM658" s="357"/>
      <c r="AN658" s="357"/>
      <c r="AO658" s="357"/>
      <c r="AP658" s="357"/>
      <c r="AQ658" s="357"/>
      <c r="AR658" s="357"/>
      <c r="AS658" s="357"/>
      <c r="AT658" s="357"/>
      <c r="AU658" s="357"/>
      <c r="AV658" s="357"/>
      <c r="AW658" s="357"/>
      <c r="AX658" s="357"/>
      <c r="AY658" s="357"/>
      <c r="AZ658" s="357"/>
      <c r="BA658" s="357"/>
      <c r="BB658" s="357"/>
      <c r="BC658" s="357"/>
      <c r="BD658" s="357"/>
    </row>
    <row r="659" spans="7:56">
      <c r="G659" s="357"/>
      <c r="H659" s="357"/>
      <c r="I659" s="357"/>
      <c r="J659" s="357"/>
      <c r="K659" s="357"/>
      <c r="L659" s="357"/>
      <c r="M659" s="357"/>
      <c r="N659" s="357"/>
      <c r="O659" s="357"/>
      <c r="P659" s="357"/>
      <c r="Q659" s="357"/>
      <c r="R659" s="357"/>
      <c r="S659" s="357"/>
      <c r="T659" s="357"/>
      <c r="U659" s="357"/>
      <c r="V659" s="357"/>
      <c r="W659" s="357"/>
      <c r="X659" s="357"/>
      <c r="Y659" s="357"/>
      <c r="Z659" s="357"/>
      <c r="AA659" s="357"/>
      <c r="AB659" s="357"/>
      <c r="AC659" s="357"/>
      <c r="AD659" s="357"/>
      <c r="AE659" s="357"/>
      <c r="AF659" s="357"/>
      <c r="AG659" s="357"/>
      <c r="AH659" s="357"/>
      <c r="AI659" s="357"/>
      <c r="AJ659" s="357"/>
      <c r="AK659" s="357"/>
      <c r="AL659" s="357"/>
      <c r="AM659" s="357"/>
      <c r="AN659" s="357"/>
      <c r="AO659" s="357"/>
      <c r="AP659" s="357"/>
      <c r="AQ659" s="357"/>
      <c r="AR659" s="357"/>
      <c r="AS659" s="357"/>
      <c r="AT659" s="357"/>
      <c r="AU659" s="357"/>
      <c r="AV659" s="357"/>
      <c r="AW659" s="357"/>
      <c r="AX659" s="357"/>
      <c r="AY659" s="357"/>
      <c r="AZ659" s="357"/>
      <c r="BA659" s="357"/>
      <c r="BB659" s="357"/>
      <c r="BC659" s="357"/>
      <c r="BD659" s="357"/>
    </row>
    <row r="660" spans="7:56">
      <c r="G660" s="357"/>
      <c r="H660" s="357"/>
      <c r="I660" s="357"/>
      <c r="J660" s="357"/>
      <c r="K660" s="357"/>
      <c r="L660" s="357"/>
      <c r="M660" s="357"/>
      <c r="N660" s="357"/>
      <c r="O660" s="357"/>
      <c r="P660" s="357"/>
      <c r="Q660" s="357"/>
      <c r="R660" s="357"/>
      <c r="S660" s="357"/>
      <c r="T660" s="357"/>
      <c r="U660" s="357"/>
      <c r="V660" s="357"/>
      <c r="W660" s="357"/>
      <c r="X660" s="357"/>
      <c r="Y660" s="357"/>
      <c r="Z660" s="357"/>
      <c r="AA660" s="357"/>
      <c r="AB660" s="357"/>
      <c r="AC660" s="357"/>
      <c r="AD660" s="357"/>
      <c r="AE660" s="357"/>
      <c r="AF660" s="357"/>
      <c r="AG660" s="357"/>
      <c r="AH660" s="357"/>
      <c r="AI660" s="357"/>
      <c r="AJ660" s="357"/>
      <c r="AK660" s="357"/>
      <c r="AL660" s="357"/>
      <c r="AM660" s="357"/>
      <c r="AN660" s="357"/>
      <c r="AO660" s="357"/>
      <c r="AP660" s="357"/>
      <c r="AQ660" s="357"/>
      <c r="AR660" s="357"/>
      <c r="AS660" s="357"/>
      <c r="AT660" s="357"/>
      <c r="AU660" s="357"/>
      <c r="AV660" s="357"/>
      <c r="AW660" s="357"/>
      <c r="AX660" s="357"/>
      <c r="AY660" s="357"/>
      <c r="AZ660" s="357"/>
      <c r="BA660" s="357"/>
      <c r="BB660" s="357"/>
      <c r="BC660" s="357"/>
      <c r="BD660" s="357"/>
    </row>
    <row r="661" spans="7:56">
      <c r="G661" s="357"/>
      <c r="H661" s="357"/>
      <c r="I661" s="357"/>
      <c r="J661" s="357"/>
      <c r="K661" s="357"/>
      <c r="L661" s="357"/>
      <c r="M661" s="357"/>
      <c r="N661" s="357"/>
      <c r="O661" s="357"/>
      <c r="P661" s="357"/>
      <c r="Q661" s="357"/>
      <c r="R661" s="357"/>
      <c r="S661" s="357"/>
      <c r="T661" s="357"/>
      <c r="U661" s="357"/>
      <c r="V661" s="357"/>
      <c r="W661" s="357"/>
      <c r="X661" s="357"/>
      <c r="Y661" s="357"/>
      <c r="Z661" s="357"/>
      <c r="AA661" s="357"/>
      <c r="AB661" s="357"/>
      <c r="AC661" s="357"/>
      <c r="AD661" s="357"/>
      <c r="AE661" s="357"/>
      <c r="AF661" s="357"/>
      <c r="AG661" s="357"/>
      <c r="AH661" s="357"/>
      <c r="AI661" s="357"/>
      <c r="AJ661" s="357"/>
      <c r="AK661" s="357"/>
      <c r="AL661" s="357"/>
      <c r="AM661" s="357"/>
      <c r="AN661" s="357"/>
      <c r="AO661" s="357"/>
      <c r="AP661" s="357"/>
      <c r="AQ661" s="357"/>
      <c r="AR661" s="357"/>
      <c r="AS661" s="357"/>
      <c r="AT661" s="357"/>
      <c r="AU661" s="357"/>
      <c r="AV661" s="357"/>
      <c r="AW661" s="357"/>
      <c r="AX661" s="357"/>
      <c r="AY661" s="357"/>
      <c r="AZ661" s="357"/>
      <c r="BA661" s="357"/>
      <c r="BB661" s="357"/>
      <c r="BC661" s="357"/>
      <c r="BD661" s="357"/>
    </row>
    <row r="662" spans="7:56">
      <c r="G662" s="357"/>
      <c r="H662" s="357"/>
      <c r="I662" s="357"/>
      <c r="J662" s="357"/>
      <c r="K662" s="357"/>
      <c r="L662" s="357"/>
      <c r="M662" s="357"/>
      <c r="N662" s="357"/>
      <c r="O662" s="357"/>
      <c r="P662" s="357"/>
      <c r="Q662" s="357"/>
      <c r="R662" s="357"/>
      <c r="S662" s="357"/>
      <c r="T662" s="357"/>
      <c r="U662" s="357"/>
      <c r="V662" s="357"/>
      <c r="W662" s="357"/>
      <c r="X662" s="357"/>
      <c r="Y662" s="357"/>
      <c r="Z662" s="357"/>
      <c r="AA662" s="357"/>
      <c r="AB662" s="357"/>
      <c r="AC662" s="357"/>
      <c r="AD662" s="357"/>
      <c r="AE662" s="357"/>
      <c r="AF662" s="357"/>
      <c r="AG662" s="357"/>
      <c r="AH662" s="357"/>
      <c r="AI662" s="357"/>
      <c r="AJ662" s="357"/>
      <c r="AK662" s="357"/>
      <c r="AL662" s="357"/>
      <c r="AM662" s="357"/>
      <c r="AN662" s="357"/>
      <c r="AO662" s="357"/>
      <c r="AP662" s="357"/>
      <c r="AQ662" s="357"/>
      <c r="AR662" s="357"/>
      <c r="AS662" s="357"/>
      <c r="AT662" s="357"/>
      <c r="AU662" s="357"/>
      <c r="AV662" s="357"/>
      <c r="AW662" s="357"/>
      <c r="AX662" s="357"/>
      <c r="AY662" s="357"/>
      <c r="AZ662" s="357"/>
      <c r="BA662" s="357"/>
      <c r="BB662" s="357"/>
      <c r="BC662" s="357"/>
      <c r="BD662" s="357"/>
    </row>
    <row r="663" spans="7:56">
      <c r="G663" s="357"/>
      <c r="H663" s="357"/>
      <c r="I663" s="357"/>
      <c r="J663" s="357"/>
      <c r="K663" s="357"/>
      <c r="L663" s="357"/>
      <c r="M663" s="357"/>
      <c r="N663" s="357"/>
      <c r="O663" s="357"/>
      <c r="P663" s="357"/>
      <c r="Q663" s="357"/>
      <c r="R663" s="357"/>
      <c r="S663" s="357"/>
      <c r="T663" s="357"/>
      <c r="U663" s="357"/>
      <c r="V663" s="357"/>
      <c r="W663" s="357"/>
      <c r="X663" s="357"/>
      <c r="Y663" s="357"/>
      <c r="Z663" s="357"/>
      <c r="AA663" s="357"/>
      <c r="AB663" s="357"/>
      <c r="AC663" s="357"/>
      <c r="AD663" s="357"/>
      <c r="AE663" s="357"/>
      <c r="AF663" s="357"/>
      <c r="AG663" s="357"/>
      <c r="AH663" s="357"/>
      <c r="AI663" s="357"/>
      <c r="AJ663" s="357"/>
      <c r="AK663" s="357"/>
      <c r="AL663" s="357"/>
      <c r="AM663" s="357"/>
      <c r="AN663" s="357"/>
      <c r="AO663" s="357"/>
      <c r="AP663" s="357"/>
      <c r="AQ663" s="357"/>
      <c r="AR663" s="357"/>
      <c r="AS663" s="357"/>
      <c r="AT663" s="357"/>
      <c r="AU663" s="357"/>
      <c r="AV663" s="357"/>
      <c r="AW663" s="357"/>
      <c r="AX663" s="357"/>
      <c r="AY663" s="357"/>
      <c r="AZ663" s="357"/>
      <c r="BA663" s="357"/>
      <c r="BB663" s="357"/>
      <c r="BC663" s="357"/>
      <c r="BD663" s="357"/>
    </row>
    <row r="664" spans="7:56">
      <c r="G664" s="357"/>
      <c r="H664" s="357"/>
      <c r="I664" s="357"/>
      <c r="J664" s="357"/>
      <c r="K664" s="357"/>
      <c r="L664" s="357"/>
      <c r="M664" s="357"/>
      <c r="N664" s="357"/>
      <c r="O664" s="357"/>
      <c r="P664" s="357"/>
      <c r="Q664" s="357"/>
      <c r="R664" s="357"/>
      <c r="S664" s="357"/>
      <c r="T664" s="357"/>
      <c r="U664" s="357"/>
      <c r="V664" s="357"/>
      <c r="W664" s="357"/>
      <c r="X664" s="357"/>
      <c r="Y664" s="357"/>
      <c r="Z664" s="357"/>
      <c r="AA664" s="357"/>
      <c r="AB664" s="357"/>
      <c r="AC664" s="357"/>
      <c r="AD664" s="357"/>
      <c r="AE664" s="357"/>
      <c r="AF664" s="357"/>
      <c r="AG664" s="357"/>
      <c r="AH664" s="357"/>
      <c r="AI664" s="357"/>
      <c r="AJ664" s="357"/>
      <c r="AK664" s="357"/>
      <c r="AL664" s="357"/>
      <c r="AM664" s="357"/>
      <c r="AN664" s="357"/>
      <c r="AO664" s="357"/>
      <c r="AP664" s="357"/>
      <c r="AQ664" s="357"/>
      <c r="AR664" s="357"/>
      <c r="AS664" s="357"/>
      <c r="AT664" s="357"/>
      <c r="AU664" s="357"/>
      <c r="AV664" s="357"/>
      <c r="AW664" s="357"/>
      <c r="AX664" s="357"/>
      <c r="AY664" s="357"/>
      <c r="AZ664" s="357"/>
      <c r="BA664" s="357"/>
      <c r="BB664" s="357"/>
      <c r="BC664" s="357"/>
      <c r="BD664" s="357"/>
    </row>
    <row r="665" spans="7:56">
      <c r="G665" s="357"/>
      <c r="H665" s="357"/>
      <c r="I665" s="357"/>
      <c r="J665" s="357"/>
      <c r="K665" s="357"/>
      <c r="L665" s="357"/>
      <c r="M665" s="357"/>
      <c r="N665" s="357"/>
      <c r="O665" s="357"/>
      <c r="P665" s="357"/>
      <c r="Q665" s="357"/>
      <c r="R665" s="357"/>
      <c r="S665" s="357"/>
      <c r="T665" s="357"/>
      <c r="U665" s="357"/>
      <c r="V665" s="357"/>
      <c r="W665" s="357"/>
      <c r="X665" s="357"/>
      <c r="Y665" s="357"/>
      <c r="Z665" s="357"/>
      <c r="AA665" s="357"/>
      <c r="AB665" s="357"/>
      <c r="AC665" s="357"/>
      <c r="AD665" s="357"/>
      <c r="AE665" s="357"/>
      <c r="AF665" s="357"/>
      <c r="AG665" s="357"/>
      <c r="AH665" s="357"/>
      <c r="AI665" s="357"/>
      <c r="AJ665" s="357"/>
      <c r="AK665" s="357"/>
      <c r="AL665" s="357"/>
      <c r="AM665" s="357"/>
      <c r="AN665" s="357"/>
      <c r="AO665" s="357"/>
      <c r="AP665" s="357"/>
      <c r="AQ665" s="357"/>
      <c r="AR665" s="357"/>
      <c r="AS665" s="357"/>
      <c r="AT665" s="357"/>
      <c r="AU665" s="357"/>
      <c r="AV665" s="357"/>
      <c r="AW665" s="357"/>
      <c r="AX665" s="357"/>
      <c r="AY665" s="357"/>
      <c r="AZ665" s="357"/>
      <c r="BA665" s="357"/>
      <c r="BB665" s="357"/>
      <c r="BC665" s="357"/>
      <c r="BD665" s="357"/>
    </row>
    <row r="666" spans="7:56">
      <c r="G666" s="357"/>
      <c r="H666" s="357"/>
      <c r="I666" s="357"/>
      <c r="J666" s="357"/>
      <c r="K666" s="357"/>
      <c r="L666" s="357"/>
      <c r="M666" s="357"/>
      <c r="N666" s="357"/>
      <c r="O666" s="357"/>
      <c r="P666" s="357"/>
      <c r="Q666" s="357"/>
      <c r="R666" s="357"/>
      <c r="S666" s="357"/>
      <c r="T666" s="357"/>
      <c r="U666" s="357"/>
      <c r="V666" s="357"/>
      <c r="W666" s="357"/>
      <c r="X666" s="357"/>
      <c r="Y666" s="357"/>
      <c r="Z666" s="357"/>
      <c r="AA666" s="357"/>
      <c r="AB666" s="357"/>
      <c r="AC666" s="357"/>
      <c r="AD666" s="357"/>
      <c r="AE666" s="357"/>
      <c r="AF666" s="357"/>
      <c r="AG666" s="357"/>
      <c r="AH666" s="357"/>
      <c r="AI666" s="357"/>
      <c r="AJ666" s="357"/>
      <c r="AK666" s="357"/>
      <c r="AL666" s="357"/>
      <c r="AM666" s="357"/>
      <c r="AN666" s="357"/>
      <c r="AO666" s="357"/>
      <c r="AP666" s="357"/>
      <c r="AQ666" s="357"/>
      <c r="AR666" s="357"/>
      <c r="AS666" s="357"/>
      <c r="AT666" s="357"/>
      <c r="AU666" s="357"/>
      <c r="AV666" s="357"/>
      <c r="AW666" s="357"/>
      <c r="AX666" s="357"/>
      <c r="AY666" s="357"/>
      <c r="AZ666" s="357"/>
      <c r="BA666" s="357"/>
      <c r="BB666" s="357"/>
      <c r="BC666" s="357"/>
      <c r="BD666" s="357"/>
    </row>
    <row r="667" spans="7:56">
      <c r="G667" s="357"/>
      <c r="H667" s="357"/>
      <c r="I667" s="357"/>
      <c r="J667" s="357"/>
      <c r="K667" s="357"/>
      <c r="L667" s="357"/>
      <c r="M667" s="357"/>
      <c r="N667" s="357"/>
      <c r="O667" s="357"/>
      <c r="P667" s="357"/>
      <c r="Q667" s="357"/>
      <c r="R667" s="357"/>
      <c r="S667" s="357"/>
      <c r="T667" s="357"/>
      <c r="U667" s="357"/>
      <c r="V667" s="357"/>
      <c r="W667" s="357"/>
      <c r="X667" s="357"/>
      <c r="Y667" s="357"/>
      <c r="Z667" s="357"/>
      <c r="AA667" s="357"/>
      <c r="AB667" s="357"/>
      <c r="AC667" s="357"/>
      <c r="AD667" s="357"/>
      <c r="AE667" s="357"/>
      <c r="AF667" s="357"/>
      <c r="AG667" s="357"/>
      <c r="AH667" s="357"/>
      <c r="AI667" s="357"/>
      <c r="AJ667" s="357"/>
      <c r="AK667" s="357"/>
      <c r="AL667" s="357"/>
      <c r="AM667" s="357"/>
      <c r="AN667" s="357"/>
      <c r="AO667" s="357"/>
      <c r="AP667" s="357"/>
      <c r="AQ667" s="357"/>
      <c r="AR667" s="357"/>
      <c r="AS667" s="357"/>
      <c r="AT667" s="357"/>
      <c r="AU667" s="357"/>
      <c r="AV667" s="357"/>
      <c r="AW667" s="357"/>
      <c r="AX667" s="357"/>
      <c r="AY667" s="357"/>
      <c r="AZ667" s="357"/>
      <c r="BA667" s="357"/>
      <c r="BB667" s="357"/>
      <c r="BC667" s="357"/>
      <c r="BD667" s="357"/>
    </row>
    <row r="668" spans="7:56">
      <c r="G668" s="357"/>
      <c r="H668" s="357"/>
      <c r="I668" s="357"/>
      <c r="J668" s="357"/>
      <c r="K668" s="357"/>
      <c r="L668" s="357"/>
      <c r="M668" s="357"/>
      <c r="N668" s="357"/>
      <c r="O668" s="357"/>
      <c r="P668" s="357"/>
      <c r="Q668" s="357"/>
      <c r="R668" s="357"/>
      <c r="S668" s="357"/>
      <c r="T668" s="357"/>
      <c r="U668" s="357"/>
      <c r="V668" s="357"/>
      <c r="W668" s="357"/>
      <c r="X668" s="357"/>
      <c r="Y668" s="357"/>
      <c r="Z668" s="357"/>
      <c r="AA668" s="357"/>
      <c r="AB668" s="357"/>
      <c r="AC668" s="357"/>
      <c r="AD668" s="357"/>
      <c r="AE668" s="357"/>
      <c r="AF668" s="357"/>
      <c r="AG668" s="357"/>
      <c r="AH668" s="357"/>
      <c r="AI668" s="357"/>
      <c r="AJ668" s="357"/>
      <c r="AK668" s="357"/>
      <c r="AL668" s="357"/>
      <c r="AM668" s="357"/>
      <c r="AN668" s="357"/>
      <c r="AO668" s="357"/>
      <c r="AP668" s="357"/>
      <c r="AQ668" s="357"/>
      <c r="AR668" s="357"/>
      <c r="AS668" s="357"/>
      <c r="AT668" s="357"/>
      <c r="AU668" s="357"/>
      <c r="AV668" s="357"/>
      <c r="AW668" s="357"/>
      <c r="AX668" s="357"/>
      <c r="AY668" s="357"/>
      <c r="AZ668" s="357"/>
      <c r="BA668" s="357"/>
      <c r="BB668" s="357"/>
      <c r="BC668" s="357"/>
      <c r="BD668" s="357"/>
    </row>
    <row r="669" spans="7:56">
      <c r="G669" s="357"/>
      <c r="H669" s="357"/>
      <c r="I669" s="357"/>
      <c r="J669" s="357"/>
      <c r="K669" s="357"/>
      <c r="L669" s="357"/>
      <c r="M669" s="357"/>
      <c r="N669" s="357"/>
      <c r="O669" s="357"/>
      <c r="P669" s="357"/>
      <c r="Q669" s="357"/>
      <c r="R669" s="357"/>
      <c r="S669" s="357"/>
      <c r="T669" s="357"/>
      <c r="U669" s="357"/>
      <c r="V669" s="357"/>
      <c r="W669" s="357"/>
      <c r="X669" s="357"/>
      <c r="Y669" s="357"/>
      <c r="Z669" s="357"/>
      <c r="AA669" s="357"/>
      <c r="AB669" s="357"/>
      <c r="AC669" s="357"/>
      <c r="AD669" s="357"/>
      <c r="AE669" s="357"/>
      <c r="AF669" s="357"/>
      <c r="AG669" s="357"/>
      <c r="AH669" s="357"/>
      <c r="AI669" s="357"/>
      <c r="AJ669" s="357"/>
      <c r="AK669" s="357"/>
      <c r="AL669" s="357"/>
      <c r="AM669" s="357"/>
      <c r="AN669" s="357"/>
      <c r="AO669" s="357"/>
      <c r="AP669" s="357"/>
      <c r="AQ669" s="357"/>
      <c r="AR669" s="357"/>
      <c r="AS669" s="357"/>
      <c r="AT669" s="357"/>
      <c r="AU669" s="357"/>
      <c r="AV669" s="357"/>
      <c r="AW669" s="357"/>
      <c r="AX669" s="357"/>
      <c r="AY669" s="357"/>
      <c r="AZ669" s="357"/>
      <c r="BA669" s="357"/>
      <c r="BB669" s="357"/>
      <c r="BC669" s="357"/>
      <c r="BD669" s="357"/>
    </row>
    <row r="670" spans="7:56">
      <c r="G670" s="357"/>
      <c r="H670" s="357"/>
      <c r="I670" s="357"/>
      <c r="J670" s="357"/>
      <c r="K670" s="357"/>
      <c r="L670" s="357"/>
      <c r="M670" s="357"/>
      <c r="N670" s="357"/>
      <c r="O670" s="357"/>
      <c r="P670" s="357"/>
      <c r="Q670" s="357"/>
      <c r="R670" s="357"/>
      <c r="S670" s="357"/>
      <c r="T670" s="357"/>
      <c r="U670" s="357"/>
      <c r="V670" s="357"/>
      <c r="W670" s="357"/>
      <c r="X670" s="357"/>
      <c r="Y670" s="357"/>
      <c r="Z670" s="357"/>
      <c r="AA670" s="357"/>
      <c r="AB670" s="357"/>
      <c r="AC670" s="357"/>
      <c r="AD670" s="357"/>
      <c r="AE670" s="357"/>
      <c r="AF670" s="357"/>
      <c r="AG670" s="357"/>
      <c r="AH670" s="357"/>
      <c r="AI670" s="357"/>
      <c r="AJ670" s="357"/>
      <c r="AK670" s="357"/>
      <c r="AL670" s="357"/>
      <c r="AM670" s="357"/>
      <c r="AN670" s="357"/>
      <c r="AO670" s="357"/>
      <c r="AP670" s="357"/>
      <c r="AQ670" s="357"/>
      <c r="AR670" s="357"/>
      <c r="AS670" s="357"/>
      <c r="AT670" s="357"/>
      <c r="AU670" s="357"/>
      <c r="AV670" s="357"/>
      <c r="AW670" s="357"/>
      <c r="AX670" s="357"/>
      <c r="AY670" s="357"/>
      <c r="AZ670" s="357"/>
      <c r="BA670" s="357"/>
      <c r="BB670" s="357"/>
      <c r="BC670" s="357"/>
      <c r="BD670" s="357"/>
    </row>
    <row r="671" spans="7:56">
      <c r="G671" s="357"/>
      <c r="H671" s="357"/>
      <c r="I671" s="357"/>
      <c r="J671" s="357"/>
      <c r="K671" s="357"/>
      <c r="L671" s="357"/>
      <c r="M671" s="357"/>
      <c r="N671" s="357"/>
      <c r="O671" s="357"/>
      <c r="P671" s="357"/>
      <c r="Q671" s="357"/>
      <c r="R671" s="357"/>
      <c r="S671" s="357"/>
      <c r="T671" s="357"/>
      <c r="U671" s="357"/>
      <c r="V671" s="357"/>
      <c r="W671" s="357"/>
      <c r="X671" s="357"/>
      <c r="Y671" s="357"/>
      <c r="Z671" s="357"/>
      <c r="AA671" s="357"/>
      <c r="AB671" s="357"/>
      <c r="AC671" s="357"/>
      <c r="AD671" s="357"/>
      <c r="AE671" s="357"/>
      <c r="AF671" s="357"/>
      <c r="AG671" s="357"/>
      <c r="AH671" s="357"/>
      <c r="AI671" s="357"/>
      <c r="AJ671" s="357"/>
      <c r="AK671" s="357"/>
      <c r="AL671" s="357"/>
      <c r="AM671" s="357"/>
      <c r="AN671" s="357"/>
      <c r="AO671" s="357"/>
      <c r="AP671" s="357"/>
      <c r="AQ671" s="357"/>
      <c r="AR671" s="357"/>
      <c r="AS671" s="357"/>
      <c r="AT671" s="357"/>
      <c r="AU671" s="357"/>
      <c r="AV671" s="357"/>
      <c r="AW671" s="357"/>
      <c r="AX671" s="357"/>
      <c r="AY671" s="357"/>
      <c r="AZ671" s="357"/>
      <c r="BA671" s="357"/>
      <c r="BB671" s="357"/>
      <c r="BC671" s="357"/>
      <c r="BD671" s="357"/>
    </row>
    <row r="672" spans="7:56">
      <c r="G672" s="357"/>
      <c r="H672" s="357"/>
      <c r="I672" s="357"/>
      <c r="J672" s="357"/>
      <c r="K672" s="357"/>
      <c r="L672" s="357"/>
      <c r="M672" s="357"/>
      <c r="N672" s="357"/>
      <c r="O672" s="357"/>
      <c r="P672" s="357"/>
      <c r="Q672" s="357"/>
      <c r="R672" s="357"/>
      <c r="S672" s="357"/>
      <c r="T672" s="357"/>
      <c r="U672" s="357"/>
      <c r="V672" s="357"/>
      <c r="W672" s="357"/>
      <c r="X672" s="357"/>
      <c r="Y672" s="357"/>
      <c r="Z672" s="357"/>
      <c r="AA672" s="357"/>
      <c r="AB672" s="357"/>
      <c r="AC672" s="357"/>
      <c r="AD672" s="357"/>
      <c r="AE672" s="357"/>
      <c r="AF672" s="357"/>
      <c r="AG672" s="357"/>
      <c r="AH672" s="357"/>
      <c r="AI672" s="357"/>
      <c r="AJ672" s="357"/>
      <c r="AK672" s="357"/>
      <c r="AL672" s="357"/>
      <c r="AM672" s="357"/>
      <c r="AN672" s="357"/>
      <c r="AO672" s="357"/>
      <c r="AP672" s="357"/>
      <c r="AQ672" s="357"/>
      <c r="AR672" s="357"/>
      <c r="AS672" s="357"/>
      <c r="AT672" s="357"/>
      <c r="AU672" s="357"/>
      <c r="AV672" s="357"/>
      <c r="AW672" s="357"/>
      <c r="AX672" s="357"/>
      <c r="AY672" s="357"/>
      <c r="AZ672" s="357"/>
      <c r="BA672" s="357"/>
      <c r="BB672" s="357"/>
      <c r="BC672" s="357"/>
      <c r="BD672" s="357"/>
    </row>
    <row r="673" spans="7:56">
      <c r="G673" s="357"/>
      <c r="H673" s="357"/>
      <c r="I673" s="357"/>
      <c r="J673" s="357"/>
      <c r="K673" s="357"/>
      <c r="L673" s="357"/>
      <c r="M673" s="357"/>
      <c r="N673" s="357"/>
      <c r="O673" s="357"/>
      <c r="P673" s="357"/>
      <c r="Q673" s="357"/>
      <c r="R673" s="357"/>
      <c r="S673" s="357"/>
      <c r="T673" s="357"/>
      <c r="U673" s="357"/>
      <c r="V673" s="357"/>
      <c r="W673" s="357"/>
      <c r="X673" s="357"/>
      <c r="Y673" s="357"/>
      <c r="Z673" s="357"/>
      <c r="AA673" s="357"/>
      <c r="AB673" s="357"/>
      <c r="AC673" s="357"/>
      <c r="AD673" s="357"/>
      <c r="AE673" s="357"/>
      <c r="AF673" s="357"/>
      <c r="AG673" s="357"/>
      <c r="AH673" s="357"/>
      <c r="AI673" s="357"/>
      <c r="AJ673" s="357"/>
      <c r="AK673" s="357"/>
      <c r="AL673" s="357"/>
      <c r="AM673" s="357"/>
      <c r="AN673" s="357"/>
      <c r="AO673" s="357"/>
      <c r="AP673" s="357"/>
      <c r="AQ673" s="357"/>
      <c r="AR673" s="357"/>
      <c r="AS673" s="357"/>
      <c r="AT673" s="357"/>
      <c r="AU673" s="357"/>
      <c r="AV673" s="357"/>
      <c r="AW673" s="357"/>
      <c r="AX673" s="357"/>
      <c r="AY673" s="357"/>
      <c r="AZ673" s="357"/>
      <c r="BA673" s="357"/>
      <c r="BB673" s="357"/>
      <c r="BC673" s="357"/>
      <c r="BD673" s="357"/>
    </row>
    <row r="674" spans="7:56">
      <c r="G674" s="357"/>
      <c r="H674" s="357"/>
      <c r="I674" s="357"/>
      <c r="J674" s="357"/>
      <c r="K674" s="357"/>
      <c r="L674" s="357"/>
      <c r="M674" s="357"/>
      <c r="N674" s="357"/>
      <c r="O674" s="357"/>
      <c r="P674" s="357"/>
      <c r="Q674" s="357"/>
      <c r="R674" s="357"/>
      <c r="S674" s="357"/>
      <c r="T674" s="357"/>
      <c r="U674" s="357"/>
      <c r="V674" s="357"/>
      <c r="W674" s="357"/>
      <c r="X674" s="357"/>
      <c r="Y674" s="357"/>
      <c r="Z674" s="357"/>
      <c r="AA674" s="357"/>
      <c r="AB674" s="357"/>
      <c r="AC674" s="357"/>
      <c r="AD674" s="357"/>
      <c r="AE674" s="357"/>
      <c r="AF674" s="357"/>
      <c r="AG674" s="357"/>
      <c r="AH674" s="357"/>
      <c r="AI674" s="357"/>
      <c r="AJ674" s="357"/>
      <c r="AK674" s="357"/>
      <c r="AL674" s="357"/>
      <c r="AM674" s="357"/>
      <c r="AN674" s="357"/>
      <c r="AO674" s="357"/>
      <c r="AP674" s="357"/>
      <c r="AQ674" s="357"/>
      <c r="AR674" s="357"/>
      <c r="AS674" s="357"/>
      <c r="AT674" s="357"/>
      <c r="AU674" s="357"/>
      <c r="AV674" s="357"/>
      <c r="AW674" s="357"/>
      <c r="AX674" s="357"/>
      <c r="AY674" s="357"/>
      <c r="AZ674" s="357"/>
      <c r="BA674" s="357"/>
      <c r="BB674" s="357"/>
      <c r="BC674" s="357"/>
      <c r="BD674" s="357"/>
    </row>
    <row r="675" spans="7:56">
      <c r="G675" s="357"/>
      <c r="H675" s="357"/>
      <c r="I675" s="357"/>
      <c r="J675" s="357"/>
      <c r="K675" s="357"/>
      <c r="L675" s="357"/>
      <c r="M675" s="357"/>
      <c r="N675" s="357"/>
      <c r="O675" s="357"/>
      <c r="P675" s="357"/>
      <c r="Q675" s="357"/>
      <c r="R675" s="357"/>
      <c r="S675" s="357"/>
      <c r="T675" s="357"/>
      <c r="U675" s="357"/>
      <c r="V675" s="357"/>
      <c r="W675" s="357"/>
      <c r="X675" s="357"/>
      <c r="Y675" s="357"/>
      <c r="Z675" s="357"/>
      <c r="AA675" s="357"/>
      <c r="AB675" s="357"/>
      <c r="AC675" s="357"/>
      <c r="AD675" s="357"/>
      <c r="AE675" s="357"/>
      <c r="AF675" s="357"/>
      <c r="AG675" s="357"/>
      <c r="AH675" s="357"/>
      <c r="AI675" s="357"/>
      <c r="AJ675" s="357"/>
      <c r="AK675" s="357"/>
      <c r="AL675" s="357"/>
      <c r="AM675" s="357"/>
      <c r="AN675" s="357"/>
      <c r="AO675" s="357"/>
      <c r="AP675" s="357"/>
      <c r="AQ675" s="357"/>
      <c r="AR675" s="357"/>
      <c r="AS675" s="357"/>
      <c r="AT675" s="357"/>
      <c r="AU675" s="357"/>
      <c r="AV675" s="357"/>
      <c r="AW675" s="357"/>
      <c r="AX675" s="357"/>
      <c r="AY675" s="357"/>
      <c r="AZ675" s="357"/>
      <c r="BA675" s="357"/>
      <c r="BB675" s="357"/>
      <c r="BC675" s="357"/>
      <c r="BD675" s="357"/>
    </row>
    <row r="676" spans="7:56">
      <c r="G676" s="357"/>
      <c r="H676" s="357"/>
      <c r="I676" s="357"/>
      <c r="J676" s="357"/>
      <c r="K676" s="357"/>
      <c r="L676" s="357"/>
      <c r="M676" s="357"/>
      <c r="N676" s="357"/>
      <c r="O676" s="357"/>
      <c r="P676" s="357"/>
      <c r="Q676" s="357"/>
      <c r="R676" s="357"/>
      <c r="S676" s="357"/>
      <c r="T676" s="357"/>
      <c r="U676" s="357"/>
      <c r="V676" s="357"/>
      <c r="W676" s="357"/>
      <c r="X676" s="357"/>
      <c r="Y676" s="357"/>
      <c r="Z676" s="357"/>
      <c r="AA676" s="357"/>
      <c r="AB676" s="357"/>
      <c r="AC676" s="357"/>
      <c r="AD676" s="357"/>
      <c r="AE676" s="357"/>
      <c r="AF676" s="357"/>
      <c r="AG676" s="357"/>
      <c r="AH676" s="357"/>
      <c r="AI676" s="357"/>
      <c r="AJ676" s="357"/>
      <c r="AK676" s="357"/>
      <c r="AL676" s="357"/>
      <c r="AM676" s="357"/>
      <c r="AN676" s="357"/>
      <c r="AO676" s="357"/>
      <c r="AP676" s="357"/>
      <c r="AQ676" s="357"/>
      <c r="AR676" s="357"/>
      <c r="AS676" s="357"/>
      <c r="AT676" s="357"/>
      <c r="AU676" s="357"/>
      <c r="AV676" s="357"/>
      <c r="AW676" s="357"/>
      <c r="AX676" s="357"/>
      <c r="AY676" s="357"/>
      <c r="AZ676" s="357"/>
      <c r="BA676" s="357"/>
      <c r="BB676" s="357"/>
      <c r="BC676" s="357"/>
      <c r="BD676" s="357"/>
    </row>
    <row r="677" spans="7:56">
      <c r="G677" s="357"/>
      <c r="H677" s="357"/>
      <c r="I677" s="357"/>
      <c r="J677" s="357"/>
      <c r="K677" s="357"/>
      <c r="L677" s="357"/>
      <c r="M677" s="357"/>
      <c r="N677" s="357"/>
      <c r="O677" s="357"/>
      <c r="P677" s="357"/>
      <c r="Q677" s="357"/>
      <c r="R677" s="357"/>
      <c r="S677" s="357"/>
      <c r="T677" s="357"/>
      <c r="U677" s="357"/>
      <c r="V677" s="357"/>
      <c r="W677" s="357"/>
      <c r="X677" s="357"/>
      <c r="Y677" s="357"/>
      <c r="Z677" s="357"/>
      <c r="AA677" s="357"/>
      <c r="AB677" s="357"/>
      <c r="AC677" s="357"/>
      <c r="AD677" s="357"/>
      <c r="AE677" s="357"/>
      <c r="AF677" s="357"/>
      <c r="AG677" s="357"/>
      <c r="AH677" s="357"/>
      <c r="AI677" s="357"/>
      <c r="AJ677" s="357"/>
      <c r="AK677" s="357"/>
      <c r="AL677" s="357"/>
      <c r="AM677" s="357"/>
      <c r="AN677" s="357"/>
      <c r="AO677" s="357"/>
      <c r="AP677" s="357"/>
      <c r="AQ677" s="357"/>
      <c r="AR677" s="357"/>
      <c r="AS677" s="357"/>
      <c r="AT677" s="357"/>
      <c r="AU677" s="357"/>
      <c r="AV677" s="357"/>
      <c r="AW677" s="357"/>
      <c r="AX677" s="357"/>
      <c r="AY677" s="357"/>
      <c r="AZ677" s="357"/>
      <c r="BA677" s="357"/>
      <c r="BB677" s="357"/>
      <c r="BC677" s="357"/>
      <c r="BD677" s="357"/>
    </row>
    <row r="678" spans="7:56">
      <c r="G678" s="357"/>
      <c r="H678" s="357"/>
      <c r="I678" s="357"/>
      <c r="J678" s="357"/>
      <c r="K678" s="357"/>
      <c r="L678" s="357"/>
      <c r="M678" s="357"/>
      <c r="N678" s="357"/>
      <c r="O678" s="357"/>
      <c r="P678" s="357"/>
      <c r="Q678" s="357"/>
      <c r="R678" s="357"/>
      <c r="S678" s="357"/>
      <c r="T678" s="357"/>
      <c r="U678" s="357"/>
      <c r="V678" s="357"/>
      <c r="W678" s="357"/>
      <c r="X678" s="357"/>
      <c r="Y678" s="357"/>
      <c r="Z678" s="357"/>
      <c r="AA678" s="357"/>
      <c r="AB678" s="357"/>
      <c r="AC678" s="357"/>
      <c r="AD678" s="357"/>
      <c r="AE678" s="357"/>
      <c r="AF678" s="357"/>
      <c r="AG678" s="357"/>
      <c r="AH678" s="357"/>
      <c r="AI678" s="357"/>
      <c r="AJ678" s="357"/>
      <c r="AK678" s="357"/>
      <c r="AL678" s="357"/>
      <c r="AM678" s="357"/>
      <c r="AN678" s="357"/>
      <c r="AO678" s="357"/>
      <c r="AP678" s="357"/>
      <c r="AQ678" s="357"/>
      <c r="AR678" s="357"/>
      <c r="AS678" s="357"/>
      <c r="AT678" s="357"/>
      <c r="AU678" s="357"/>
      <c r="AV678" s="357"/>
      <c r="AW678" s="357"/>
      <c r="AX678" s="357"/>
      <c r="AY678" s="357"/>
      <c r="AZ678" s="357"/>
      <c r="BA678" s="357"/>
      <c r="BB678" s="357"/>
      <c r="BC678" s="357"/>
      <c r="BD678" s="357"/>
    </row>
    <row r="679" spans="7:56">
      <c r="G679" s="357"/>
      <c r="H679" s="357"/>
      <c r="I679" s="357"/>
      <c r="J679" s="357"/>
      <c r="K679" s="357"/>
      <c r="L679" s="357"/>
      <c r="M679" s="357"/>
      <c r="N679" s="357"/>
      <c r="O679" s="357"/>
      <c r="P679" s="357"/>
      <c r="Q679" s="357"/>
      <c r="R679" s="357"/>
      <c r="S679" s="357"/>
      <c r="T679" s="357"/>
      <c r="U679" s="357"/>
      <c r="V679" s="357"/>
      <c r="W679" s="357"/>
      <c r="X679" s="357"/>
      <c r="Y679" s="357"/>
      <c r="Z679" s="357"/>
      <c r="AA679" s="357"/>
      <c r="AB679" s="357"/>
      <c r="AC679" s="357"/>
      <c r="AD679" s="357"/>
      <c r="AE679" s="357"/>
      <c r="AF679" s="357"/>
      <c r="AG679" s="357"/>
      <c r="AH679" s="357"/>
      <c r="AI679" s="357"/>
      <c r="AJ679" s="357"/>
      <c r="AK679" s="357"/>
      <c r="AL679" s="357"/>
      <c r="AM679" s="357"/>
      <c r="AN679" s="357"/>
      <c r="AO679" s="357"/>
      <c r="AP679" s="357"/>
      <c r="AQ679" s="357"/>
      <c r="AR679" s="357"/>
      <c r="AS679" s="357"/>
      <c r="AT679" s="357"/>
      <c r="AU679" s="357"/>
      <c r="AV679" s="357"/>
      <c r="AW679" s="357"/>
      <c r="AX679" s="357"/>
      <c r="AY679" s="357"/>
      <c r="AZ679" s="357"/>
      <c r="BA679" s="357"/>
      <c r="BB679" s="357"/>
      <c r="BC679" s="357"/>
      <c r="BD679" s="357"/>
    </row>
    <row r="680" spans="7:56">
      <c r="G680" s="357"/>
      <c r="H680" s="357"/>
      <c r="I680" s="357"/>
      <c r="J680" s="357"/>
      <c r="K680" s="357"/>
      <c r="L680" s="357"/>
      <c r="M680" s="357"/>
      <c r="N680" s="357"/>
      <c r="O680" s="357"/>
      <c r="P680" s="357"/>
      <c r="Q680" s="357"/>
      <c r="R680" s="357"/>
      <c r="S680" s="357"/>
      <c r="T680" s="357"/>
      <c r="U680" s="357"/>
      <c r="V680" s="357"/>
      <c r="W680" s="357"/>
      <c r="X680" s="357"/>
      <c r="Y680" s="357"/>
      <c r="Z680" s="357"/>
      <c r="AA680" s="357"/>
      <c r="AB680" s="357"/>
      <c r="AC680" s="357"/>
      <c r="AD680" s="357"/>
      <c r="AE680" s="357"/>
      <c r="AF680" s="357"/>
      <c r="AG680" s="357"/>
      <c r="AH680" s="357"/>
      <c r="AI680" s="357"/>
      <c r="AJ680" s="357"/>
      <c r="AK680" s="357"/>
      <c r="AL680" s="357"/>
      <c r="AM680" s="357"/>
      <c r="AN680" s="357"/>
      <c r="AO680" s="357"/>
      <c r="AP680" s="357"/>
      <c r="AQ680" s="357"/>
      <c r="AR680" s="357"/>
      <c r="AS680" s="357"/>
      <c r="AT680" s="357"/>
      <c r="AU680" s="357"/>
      <c r="AV680" s="357"/>
      <c r="AW680" s="357"/>
      <c r="AX680" s="357"/>
      <c r="AY680" s="357"/>
      <c r="AZ680" s="357"/>
      <c r="BA680" s="357"/>
      <c r="BB680" s="357"/>
      <c r="BC680" s="357"/>
      <c r="BD680" s="357"/>
    </row>
    <row r="681" spans="7:56">
      <c r="G681" s="357"/>
      <c r="H681" s="357"/>
      <c r="I681" s="357"/>
      <c r="J681" s="357"/>
      <c r="K681" s="357"/>
      <c r="L681" s="357"/>
      <c r="M681" s="357"/>
      <c r="N681" s="357"/>
      <c r="O681" s="357"/>
      <c r="P681" s="357"/>
      <c r="Q681" s="357"/>
      <c r="R681" s="357"/>
      <c r="S681" s="357"/>
      <c r="T681" s="357"/>
      <c r="U681" s="357"/>
      <c r="V681" s="357"/>
      <c r="W681" s="357"/>
      <c r="X681" s="357"/>
      <c r="Y681" s="357"/>
      <c r="Z681" s="357"/>
      <c r="AA681" s="357"/>
      <c r="AB681" s="357"/>
      <c r="AC681" s="357"/>
      <c r="AD681" s="357"/>
      <c r="AE681" s="357"/>
      <c r="AF681" s="357"/>
      <c r="AG681" s="357"/>
      <c r="AH681" s="357"/>
      <c r="AI681" s="357"/>
      <c r="AJ681" s="357"/>
      <c r="AK681" s="357"/>
      <c r="AL681" s="357"/>
      <c r="AM681" s="357"/>
      <c r="AN681" s="357"/>
      <c r="AO681" s="357"/>
      <c r="AP681" s="357"/>
      <c r="AQ681" s="357"/>
      <c r="AR681" s="357"/>
      <c r="AS681" s="357"/>
      <c r="AT681" s="357"/>
      <c r="AU681" s="357"/>
      <c r="AV681" s="357"/>
      <c r="AW681" s="357"/>
      <c r="AX681" s="357"/>
      <c r="AY681" s="357"/>
      <c r="AZ681" s="357"/>
      <c r="BA681" s="357"/>
      <c r="BB681" s="357"/>
      <c r="BC681" s="357"/>
      <c r="BD681" s="357"/>
    </row>
    <row r="682" spans="7:56">
      <c r="G682" s="357"/>
      <c r="H682" s="357"/>
      <c r="I682" s="357"/>
      <c r="J682" s="357"/>
      <c r="K682" s="357"/>
      <c r="L682" s="357"/>
      <c r="M682" s="357"/>
      <c r="N682" s="357"/>
      <c r="O682" s="357"/>
      <c r="P682" s="357"/>
      <c r="Q682" s="357"/>
      <c r="R682" s="357"/>
      <c r="S682" s="357"/>
      <c r="T682" s="357"/>
      <c r="U682" s="357"/>
      <c r="V682" s="357"/>
      <c r="W682" s="357"/>
      <c r="X682" s="357"/>
      <c r="Y682" s="357"/>
      <c r="Z682" s="357"/>
      <c r="AA682" s="357"/>
      <c r="AB682" s="357"/>
      <c r="AC682" s="357"/>
      <c r="AD682" s="357"/>
      <c r="AE682" s="357"/>
      <c r="AF682" s="357"/>
      <c r="AG682" s="357"/>
      <c r="AH682" s="357"/>
      <c r="AI682" s="357"/>
      <c r="AJ682" s="357"/>
      <c r="AK682" s="357"/>
      <c r="AL682" s="357"/>
      <c r="AM682" s="357"/>
      <c r="AN682" s="357"/>
      <c r="AO682" s="357"/>
      <c r="AP682" s="357"/>
      <c r="AQ682" s="357"/>
      <c r="AR682" s="357"/>
      <c r="AS682" s="357"/>
      <c r="AT682" s="357"/>
      <c r="AU682" s="357"/>
      <c r="AV682" s="357"/>
      <c r="AW682" s="357"/>
      <c r="AX682" s="357"/>
      <c r="AY682" s="357"/>
      <c r="AZ682" s="357"/>
      <c r="BA682" s="357"/>
      <c r="BB682" s="357"/>
      <c r="BC682" s="357"/>
      <c r="BD682" s="357"/>
    </row>
    <row r="683" spans="7:56">
      <c r="G683" s="357"/>
      <c r="H683" s="357"/>
      <c r="I683" s="357"/>
      <c r="J683" s="357"/>
      <c r="K683" s="357"/>
      <c r="L683" s="357"/>
      <c r="M683" s="357"/>
      <c r="N683" s="357"/>
      <c r="O683" s="357"/>
      <c r="P683" s="357"/>
      <c r="Q683" s="357"/>
      <c r="R683" s="357"/>
      <c r="S683" s="357"/>
      <c r="T683" s="357"/>
      <c r="U683" s="357"/>
      <c r="V683" s="357"/>
      <c r="W683" s="357"/>
      <c r="X683" s="357"/>
      <c r="Y683" s="357"/>
      <c r="Z683" s="357"/>
      <c r="AA683" s="357"/>
      <c r="AB683" s="357"/>
      <c r="AC683" s="357"/>
      <c r="AD683" s="357"/>
      <c r="AE683" s="357"/>
      <c r="AF683" s="357"/>
      <c r="AG683" s="357"/>
      <c r="AH683" s="357"/>
      <c r="AI683" s="357"/>
      <c r="AJ683" s="357"/>
      <c r="AK683" s="357"/>
      <c r="AL683" s="357"/>
      <c r="AM683" s="357"/>
      <c r="AN683" s="357"/>
      <c r="AO683" s="357"/>
      <c r="AP683" s="357"/>
      <c r="AQ683" s="357"/>
      <c r="AR683" s="357"/>
      <c r="AS683" s="357"/>
      <c r="AT683" s="357"/>
      <c r="AU683" s="357"/>
      <c r="AV683" s="357"/>
      <c r="AW683" s="357"/>
      <c r="AX683" s="357"/>
      <c r="AY683" s="357"/>
      <c r="AZ683" s="357"/>
      <c r="BA683" s="357"/>
      <c r="BB683" s="357"/>
      <c r="BC683" s="357"/>
      <c r="BD683" s="357"/>
    </row>
    <row r="684" spans="7:56">
      <c r="G684" s="357"/>
      <c r="H684" s="357"/>
      <c r="I684" s="357"/>
      <c r="J684" s="357"/>
      <c r="K684" s="357"/>
      <c r="L684" s="357"/>
      <c r="M684" s="357"/>
      <c r="N684" s="357"/>
      <c r="O684" s="357"/>
      <c r="P684" s="357"/>
      <c r="Q684" s="357"/>
      <c r="R684" s="357"/>
      <c r="S684" s="357"/>
      <c r="T684" s="357"/>
      <c r="U684" s="357"/>
      <c r="V684" s="357"/>
      <c r="W684" s="357"/>
      <c r="X684" s="357"/>
      <c r="Y684" s="357"/>
      <c r="Z684" s="357"/>
      <c r="AA684" s="357"/>
      <c r="AB684" s="357"/>
      <c r="AC684" s="357"/>
      <c r="AD684" s="357"/>
      <c r="AE684" s="357"/>
      <c r="AF684" s="357"/>
      <c r="AG684" s="357"/>
      <c r="AH684" s="357"/>
      <c r="AI684" s="357"/>
      <c r="AJ684" s="357"/>
      <c r="AK684" s="357"/>
      <c r="AL684" s="357"/>
      <c r="AM684" s="357"/>
      <c r="AN684" s="357"/>
      <c r="AO684" s="357"/>
      <c r="AP684" s="357"/>
      <c r="AQ684" s="357"/>
      <c r="AR684" s="357"/>
      <c r="AS684" s="357"/>
      <c r="AT684" s="357"/>
      <c r="AU684" s="357"/>
      <c r="AV684" s="357"/>
      <c r="AW684" s="357"/>
      <c r="AX684" s="357"/>
      <c r="AY684" s="357"/>
      <c r="AZ684" s="357"/>
      <c r="BA684" s="357"/>
      <c r="BB684" s="357"/>
      <c r="BC684" s="357"/>
      <c r="BD684" s="357"/>
    </row>
    <row r="685" spans="7:56">
      <c r="G685" s="357"/>
      <c r="H685" s="357"/>
      <c r="I685" s="357"/>
      <c r="J685" s="357"/>
      <c r="K685" s="357"/>
      <c r="L685" s="357"/>
      <c r="M685" s="357"/>
      <c r="N685" s="357"/>
      <c r="O685" s="357"/>
      <c r="P685" s="357"/>
      <c r="Q685" s="357"/>
      <c r="R685" s="357"/>
      <c r="S685" s="357"/>
      <c r="T685" s="357"/>
      <c r="U685" s="357"/>
      <c r="V685" s="357"/>
      <c r="W685" s="357"/>
      <c r="X685" s="357"/>
      <c r="Y685" s="357"/>
      <c r="Z685" s="357"/>
      <c r="AA685" s="357"/>
      <c r="AB685" s="357"/>
      <c r="AC685" s="357"/>
      <c r="AD685" s="357"/>
      <c r="AE685" s="357"/>
      <c r="AF685" s="357"/>
      <c r="AG685" s="357"/>
      <c r="AH685" s="357"/>
      <c r="AI685" s="357"/>
      <c r="AJ685" s="357"/>
      <c r="AK685" s="357"/>
      <c r="AL685" s="357"/>
      <c r="AM685" s="357"/>
      <c r="AN685" s="357"/>
      <c r="AO685" s="357"/>
      <c r="AP685" s="357"/>
      <c r="AQ685" s="357"/>
      <c r="AR685" s="357"/>
      <c r="AS685" s="357"/>
      <c r="AT685" s="357"/>
      <c r="AU685" s="357"/>
      <c r="AV685" s="357"/>
      <c r="AW685" s="357"/>
      <c r="AX685" s="357"/>
      <c r="AY685" s="357"/>
      <c r="AZ685" s="357"/>
      <c r="BA685" s="357"/>
      <c r="BB685" s="357"/>
      <c r="BC685" s="357"/>
      <c r="BD685" s="357"/>
    </row>
    <row r="686" spans="7:56">
      <c r="G686" s="357"/>
      <c r="H686" s="357"/>
      <c r="I686" s="357"/>
      <c r="J686" s="357"/>
      <c r="K686" s="357"/>
      <c r="L686" s="357"/>
      <c r="M686" s="357"/>
      <c r="N686" s="357"/>
      <c r="O686" s="357"/>
      <c r="P686" s="357"/>
      <c r="Q686" s="357"/>
      <c r="R686" s="357"/>
      <c r="S686" s="357"/>
      <c r="T686" s="357"/>
      <c r="U686" s="357"/>
      <c r="V686" s="357"/>
      <c r="W686" s="357"/>
      <c r="X686" s="357"/>
      <c r="Y686" s="357"/>
      <c r="Z686" s="357"/>
      <c r="AA686" s="357"/>
      <c r="AB686" s="357"/>
      <c r="AC686" s="357"/>
      <c r="AD686" s="357"/>
      <c r="AE686" s="357"/>
      <c r="AF686" s="357"/>
      <c r="AG686" s="357"/>
      <c r="AH686" s="357"/>
      <c r="AI686" s="357"/>
      <c r="AJ686" s="357"/>
      <c r="AK686" s="357"/>
      <c r="AL686" s="357"/>
      <c r="AM686" s="357"/>
      <c r="AN686" s="357"/>
      <c r="AO686" s="357"/>
      <c r="AP686" s="357"/>
      <c r="AQ686" s="357"/>
      <c r="AR686" s="357"/>
      <c r="AS686" s="357"/>
      <c r="AT686" s="357"/>
      <c r="AU686" s="357"/>
      <c r="AV686" s="357"/>
      <c r="AW686" s="357"/>
      <c r="AX686" s="357"/>
      <c r="AY686" s="357"/>
      <c r="AZ686" s="357"/>
      <c r="BA686" s="357"/>
      <c r="BB686" s="357"/>
      <c r="BC686" s="357"/>
      <c r="BD686" s="357"/>
    </row>
    <row r="687" spans="7:56">
      <c r="G687" s="357"/>
      <c r="H687" s="357"/>
      <c r="I687" s="357"/>
      <c r="J687" s="357"/>
      <c r="K687" s="357"/>
      <c r="L687" s="357"/>
      <c r="M687" s="357"/>
      <c r="N687" s="357"/>
      <c r="O687" s="357"/>
      <c r="P687" s="357"/>
      <c r="Q687" s="357"/>
      <c r="R687" s="357"/>
      <c r="S687" s="357"/>
      <c r="T687" s="357"/>
      <c r="U687" s="357"/>
      <c r="V687" s="357"/>
      <c r="W687" s="357"/>
      <c r="X687" s="357"/>
      <c r="Y687" s="357"/>
      <c r="Z687" s="357"/>
      <c r="AA687" s="357"/>
      <c r="AB687" s="357"/>
      <c r="AC687" s="357"/>
      <c r="AD687" s="357"/>
      <c r="AE687" s="357"/>
      <c r="AF687" s="357"/>
      <c r="AG687" s="357"/>
      <c r="AH687" s="357"/>
      <c r="AI687" s="357"/>
      <c r="AJ687" s="357"/>
      <c r="AK687" s="357"/>
      <c r="AL687" s="357"/>
      <c r="AM687" s="357"/>
      <c r="AN687" s="357"/>
      <c r="AO687" s="357"/>
      <c r="AP687" s="357"/>
      <c r="AQ687" s="357"/>
      <c r="AR687" s="357"/>
      <c r="AS687" s="357"/>
      <c r="AT687" s="357"/>
      <c r="AU687" s="357"/>
      <c r="AV687" s="357"/>
      <c r="AW687" s="357"/>
      <c r="AX687" s="357"/>
      <c r="AY687" s="357"/>
      <c r="AZ687" s="357"/>
      <c r="BA687" s="357"/>
      <c r="BB687" s="357"/>
      <c r="BC687" s="357"/>
      <c r="BD687" s="357"/>
    </row>
    <row r="688" spans="7:56">
      <c r="G688" s="357"/>
      <c r="H688" s="357"/>
      <c r="I688" s="357"/>
      <c r="J688" s="357"/>
      <c r="K688" s="357"/>
      <c r="L688" s="357"/>
      <c r="M688" s="357"/>
      <c r="N688" s="357"/>
      <c r="O688" s="357"/>
      <c r="P688" s="357"/>
      <c r="Q688" s="357"/>
      <c r="R688" s="357"/>
      <c r="S688" s="357"/>
      <c r="T688" s="357"/>
      <c r="U688" s="357"/>
      <c r="V688" s="357"/>
      <c r="W688" s="357"/>
      <c r="X688" s="357"/>
      <c r="Y688" s="357"/>
      <c r="Z688" s="357"/>
      <c r="AA688" s="357"/>
      <c r="AB688" s="357"/>
      <c r="AC688" s="357"/>
      <c r="AD688" s="357"/>
      <c r="AE688" s="357"/>
      <c r="AF688" s="357"/>
      <c r="AG688" s="357"/>
      <c r="AH688" s="357"/>
      <c r="AI688" s="357"/>
      <c r="AJ688" s="357"/>
      <c r="AK688" s="357"/>
      <c r="AL688" s="357"/>
      <c r="AM688" s="357"/>
      <c r="AN688" s="357"/>
      <c r="AO688" s="357"/>
      <c r="AP688" s="357"/>
      <c r="AQ688" s="357"/>
      <c r="AR688" s="357"/>
      <c r="AS688" s="357"/>
      <c r="AT688" s="357"/>
      <c r="AU688" s="357"/>
      <c r="AV688" s="357"/>
      <c r="AW688" s="357"/>
      <c r="AX688" s="357"/>
      <c r="AY688" s="357"/>
      <c r="AZ688" s="357"/>
      <c r="BA688" s="357"/>
      <c r="BB688" s="357"/>
      <c r="BC688" s="357"/>
      <c r="BD688" s="357"/>
    </row>
    <row r="689" spans="7:56">
      <c r="G689" s="357"/>
      <c r="H689" s="357"/>
      <c r="I689" s="357"/>
      <c r="J689" s="357"/>
      <c r="K689" s="357"/>
      <c r="L689" s="357"/>
      <c r="M689" s="357"/>
      <c r="N689" s="357"/>
      <c r="O689" s="357"/>
      <c r="P689" s="357"/>
      <c r="Q689" s="357"/>
      <c r="R689" s="357"/>
      <c r="S689" s="357"/>
      <c r="T689" s="357"/>
      <c r="U689" s="357"/>
      <c r="V689" s="357"/>
      <c r="W689" s="357"/>
      <c r="X689" s="357"/>
      <c r="Y689" s="357"/>
      <c r="Z689" s="357"/>
      <c r="AA689" s="357"/>
      <c r="AB689" s="357"/>
      <c r="AC689" s="357"/>
      <c r="AD689" s="357"/>
      <c r="AE689" s="357"/>
      <c r="AF689" s="357"/>
      <c r="AG689" s="357"/>
      <c r="AH689" s="357"/>
      <c r="AI689" s="357"/>
      <c r="AJ689" s="357"/>
      <c r="AK689" s="357"/>
      <c r="AL689" s="357"/>
      <c r="AM689" s="357"/>
      <c r="AN689" s="357"/>
      <c r="AO689" s="357"/>
      <c r="AP689" s="357"/>
      <c r="AQ689" s="357"/>
      <c r="AR689" s="357"/>
      <c r="AS689" s="357"/>
      <c r="AT689" s="357"/>
      <c r="AU689" s="357"/>
      <c r="AV689" s="357"/>
      <c r="AW689" s="357"/>
      <c r="AX689" s="357"/>
      <c r="AY689" s="357"/>
      <c r="AZ689" s="357"/>
      <c r="BA689" s="357"/>
      <c r="BB689" s="357"/>
      <c r="BC689" s="357"/>
      <c r="BD689" s="357"/>
    </row>
    <row r="690" spans="7:56">
      <c r="G690" s="357"/>
      <c r="H690" s="357"/>
      <c r="I690" s="357"/>
      <c r="J690" s="357"/>
      <c r="K690" s="357"/>
      <c r="L690" s="357"/>
      <c r="M690" s="357"/>
      <c r="N690" s="357"/>
      <c r="O690" s="357"/>
      <c r="P690" s="357"/>
      <c r="Q690" s="357"/>
      <c r="R690" s="357"/>
      <c r="S690" s="357"/>
      <c r="T690" s="357"/>
      <c r="U690" s="357"/>
      <c r="V690" s="357"/>
      <c r="W690" s="357"/>
      <c r="X690" s="357"/>
      <c r="Y690" s="357"/>
      <c r="Z690" s="357"/>
      <c r="AA690" s="357"/>
      <c r="AB690" s="357"/>
      <c r="AC690" s="357"/>
      <c r="AD690" s="357"/>
      <c r="AE690" s="357"/>
      <c r="AF690" s="357"/>
      <c r="AG690" s="357"/>
      <c r="AH690" s="357"/>
      <c r="AI690" s="357"/>
      <c r="AJ690" s="357"/>
      <c r="AK690" s="357"/>
      <c r="AL690" s="357"/>
      <c r="AM690" s="357"/>
      <c r="AN690" s="357"/>
      <c r="AO690" s="357"/>
      <c r="AP690" s="357"/>
      <c r="AQ690" s="357"/>
      <c r="AR690" s="357"/>
      <c r="AS690" s="357"/>
      <c r="AT690" s="357"/>
      <c r="AU690" s="357"/>
      <c r="AV690" s="357"/>
      <c r="AW690" s="357"/>
      <c r="AX690" s="357"/>
      <c r="AY690" s="357"/>
      <c r="AZ690" s="357"/>
      <c r="BA690" s="357"/>
      <c r="BB690" s="357"/>
      <c r="BC690" s="357"/>
      <c r="BD690" s="357"/>
    </row>
    <row r="691" spans="7:56">
      <c r="G691" s="357"/>
      <c r="H691" s="357"/>
      <c r="I691" s="357"/>
      <c r="J691" s="357"/>
      <c r="K691" s="357"/>
      <c r="L691" s="357"/>
      <c r="M691" s="357"/>
      <c r="N691" s="357"/>
      <c r="O691" s="357"/>
      <c r="P691" s="357"/>
      <c r="Q691" s="357"/>
      <c r="R691" s="357"/>
      <c r="S691" s="357"/>
      <c r="T691" s="357"/>
      <c r="U691" s="357"/>
      <c r="V691" s="357"/>
      <c r="W691" s="357"/>
      <c r="X691" s="357"/>
      <c r="Y691" s="357"/>
      <c r="Z691" s="357"/>
      <c r="AA691" s="357"/>
      <c r="AB691" s="357"/>
      <c r="AC691" s="357"/>
      <c r="AD691" s="357"/>
      <c r="AE691" s="357"/>
      <c r="AF691" s="357"/>
      <c r="AG691" s="357"/>
      <c r="AH691" s="357"/>
      <c r="AI691" s="357"/>
      <c r="AJ691" s="357"/>
      <c r="AK691" s="357"/>
      <c r="AL691" s="357"/>
      <c r="AM691" s="357"/>
      <c r="AN691" s="357"/>
      <c r="AO691" s="357"/>
      <c r="AP691" s="357"/>
      <c r="AQ691" s="357"/>
      <c r="AR691" s="357"/>
      <c r="AS691" s="357"/>
      <c r="AT691" s="357"/>
      <c r="AU691" s="357"/>
      <c r="AV691" s="357"/>
      <c r="AW691" s="357"/>
      <c r="AX691" s="357"/>
      <c r="AY691" s="357"/>
      <c r="AZ691" s="357"/>
      <c r="BA691" s="357"/>
      <c r="BB691" s="357"/>
      <c r="BC691" s="357"/>
      <c r="BD691" s="357"/>
    </row>
    <row r="692" spans="7:56">
      <c r="G692" s="357"/>
      <c r="H692" s="357"/>
      <c r="I692" s="357"/>
      <c r="J692" s="357"/>
      <c r="K692" s="357"/>
      <c r="L692" s="357"/>
      <c r="M692" s="357"/>
      <c r="N692" s="357"/>
      <c r="O692" s="357"/>
      <c r="P692" s="357"/>
      <c r="Q692" s="357"/>
      <c r="R692" s="357"/>
      <c r="S692" s="357"/>
      <c r="T692" s="357"/>
      <c r="U692" s="357"/>
      <c r="V692" s="357"/>
      <c r="W692" s="357"/>
      <c r="X692" s="357"/>
      <c r="Y692" s="357"/>
      <c r="Z692" s="357"/>
      <c r="AA692" s="357"/>
      <c r="AB692" s="357"/>
      <c r="AC692" s="357"/>
      <c r="AD692" s="357"/>
      <c r="AE692" s="357"/>
      <c r="AF692" s="357"/>
      <c r="AG692" s="357"/>
      <c r="AH692" s="357"/>
      <c r="AI692" s="357"/>
      <c r="AJ692" s="357"/>
      <c r="AK692" s="357"/>
      <c r="AL692" s="357"/>
      <c r="AM692" s="357"/>
      <c r="AN692" s="357"/>
      <c r="AO692" s="357"/>
      <c r="AP692" s="357"/>
      <c r="AQ692" s="357"/>
      <c r="AR692" s="357"/>
      <c r="AS692" s="357"/>
      <c r="AT692" s="357"/>
      <c r="AU692" s="357"/>
      <c r="AV692" s="357"/>
      <c r="AW692" s="357"/>
      <c r="AX692" s="357"/>
      <c r="AY692" s="357"/>
      <c r="AZ692" s="357"/>
      <c r="BA692" s="357"/>
      <c r="BB692" s="357"/>
      <c r="BC692" s="357"/>
      <c r="BD692" s="357"/>
    </row>
    <row r="693" spans="7:56">
      <c r="G693" s="357"/>
      <c r="H693" s="357"/>
      <c r="I693" s="357"/>
      <c r="J693" s="357"/>
      <c r="K693" s="357"/>
      <c r="L693" s="357"/>
      <c r="M693" s="357"/>
      <c r="N693" s="357"/>
      <c r="O693" s="357"/>
      <c r="P693" s="357"/>
      <c r="Q693" s="357"/>
      <c r="R693" s="357"/>
      <c r="S693" s="357"/>
      <c r="T693" s="357"/>
      <c r="U693" s="357"/>
      <c r="V693" s="357"/>
      <c r="W693" s="357"/>
      <c r="X693" s="357"/>
      <c r="Y693" s="357"/>
      <c r="Z693" s="357"/>
      <c r="AA693" s="357"/>
      <c r="AB693" s="357"/>
      <c r="AC693" s="357"/>
      <c r="AD693" s="357"/>
      <c r="AE693" s="357"/>
      <c r="AF693" s="357"/>
      <c r="AG693" s="357"/>
      <c r="AH693" s="357"/>
      <c r="AI693" s="357"/>
      <c r="AJ693" s="357"/>
      <c r="AK693" s="357"/>
      <c r="AL693" s="357"/>
      <c r="AM693" s="357"/>
      <c r="AN693" s="357"/>
      <c r="AO693" s="357"/>
      <c r="AP693" s="357"/>
      <c r="AQ693" s="357"/>
      <c r="AR693" s="357"/>
      <c r="AS693" s="357"/>
      <c r="AT693" s="357"/>
      <c r="AU693" s="357"/>
      <c r="AV693" s="357"/>
      <c r="AW693" s="357"/>
      <c r="AX693" s="357"/>
      <c r="AY693" s="357"/>
      <c r="AZ693" s="357"/>
      <c r="BA693" s="357"/>
      <c r="BB693" s="357"/>
      <c r="BC693" s="357"/>
      <c r="BD693" s="357"/>
    </row>
    <row r="694" spans="7:56">
      <c r="G694" s="357"/>
      <c r="H694" s="357"/>
      <c r="I694" s="357"/>
      <c r="J694" s="357"/>
      <c r="K694" s="357"/>
      <c r="L694" s="357"/>
      <c r="M694" s="357"/>
      <c r="N694" s="357"/>
      <c r="O694" s="357"/>
      <c r="P694" s="357"/>
      <c r="Q694" s="357"/>
      <c r="R694" s="357"/>
      <c r="S694" s="357"/>
      <c r="T694" s="357"/>
      <c r="U694" s="357"/>
      <c r="V694" s="357"/>
      <c r="W694" s="357"/>
      <c r="X694" s="357"/>
      <c r="Y694" s="357"/>
      <c r="Z694" s="357"/>
      <c r="AA694" s="357"/>
      <c r="AB694" s="357"/>
      <c r="AC694" s="357"/>
      <c r="AD694" s="357"/>
      <c r="AE694" s="357"/>
      <c r="AF694" s="357"/>
      <c r="AG694" s="357"/>
      <c r="AH694" s="357"/>
      <c r="AI694" s="357"/>
      <c r="AJ694" s="357"/>
      <c r="AK694" s="357"/>
      <c r="AL694" s="357"/>
      <c r="AM694" s="357"/>
      <c r="AN694" s="357"/>
      <c r="AO694" s="357"/>
      <c r="AP694" s="357"/>
      <c r="AQ694" s="357"/>
      <c r="AR694" s="357"/>
      <c r="AS694" s="357"/>
      <c r="AT694" s="357"/>
      <c r="AU694" s="357"/>
      <c r="AV694" s="357"/>
      <c r="AW694" s="357"/>
      <c r="AX694" s="357"/>
      <c r="AY694" s="357"/>
      <c r="AZ694" s="357"/>
      <c r="BA694" s="357"/>
      <c r="BB694" s="357"/>
      <c r="BC694" s="357"/>
      <c r="BD694" s="357"/>
    </row>
    <row r="695" spans="7:56">
      <c r="G695" s="357"/>
      <c r="H695" s="357"/>
      <c r="I695" s="357"/>
      <c r="J695" s="357"/>
      <c r="K695" s="357"/>
      <c r="L695" s="357"/>
      <c r="M695" s="357"/>
      <c r="N695" s="357"/>
      <c r="O695" s="357"/>
      <c r="P695" s="357"/>
      <c r="Q695" s="357"/>
      <c r="R695" s="357"/>
      <c r="S695" s="357"/>
      <c r="T695" s="357"/>
      <c r="U695" s="357"/>
      <c r="V695" s="357"/>
      <c r="W695" s="357"/>
      <c r="X695" s="357"/>
      <c r="Y695" s="357"/>
      <c r="Z695" s="357"/>
      <c r="AA695" s="357"/>
      <c r="AB695" s="357"/>
      <c r="AC695" s="357"/>
      <c r="AD695" s="357"/>
      <c r="AE695" s="357"/>
      <c r="AF695" s="357"/>
      <c r="AG695" s="357"/>
      <c r="AH695" s="357"/>
      <c r="AI695" s="357"/>
      <c r="AJ695" s="357"/>
      <c r="AK695" s="357"/>
      <c r="AL695" s="357"/>
      <c r="AM695" s="357"/>
      <c r="AN695" s="357"/>
      <c r="AO695" s="357"/>
      <c r="AP695" s="357"/>
      <c r="AQ695" s="357"/>
      <c r="AR695" s="357"/>
      <c r="AS695" s="357"/>
      <c r="AT695" s="357"/>
      <c r="AU695" s="357"/>
      <c r="AV695" s="357"/>
      <c r="AW695" s="357"/>
      <c r="AX695" s="357"/>
      <c r="AY695" s="357"/>
      <c r="AZ695" s="357"/>
      <c r="BA695" s="357"/>
      <c r="BB695" s="357"/>
      <c r="BC695" s="357"/>
      <c r="BD695" s="357"/>
    </row>
    <row r="696" spans="7:56">
      <c r="G696" s="357"/>
      <c r="H696" s="357"/>
      <c r="I696" s="357"/>
      <c r="J696" s="357"/>
      <c r="K696" s="357"/>
      <c r="L696" s="357"/>
      <c r="M696" s="357"/>
      <c r="N696" s="357"/>
      <c r="O696" s="357"/>
      <c r="P696" s="357"/>
      <c r="Q696" s="357"/>
      <c r="R696" s="357"/>
      <c r="S696" s="357"/>
      <c r="T696" s="357"/>
      <c r="U696" s="357"/>
      <c r="V696" s="357"/>
      <c r="W696" s="357"/>
      <c r="X696" s="357"/>
      <c r="Y696" s="357"/>
      <c r="Z696" s="357"/>
      <c r="AA696" s="357"/>
      <c r="AB696" s="357"/>
      <c r="AC696" s="357"/>
      <c r="AD696" s="357"/>
      <c r="AE696" s="357"/>
      <c r="AF696" s="357"/>
      <c r="AG696" s="357"/>
      <c r="AH696" s="357"/>
      <c r="AI696" s="357"/>
      <c r="AJ696" s="357"/>
      <c r="AK696" s="357"/>
      <c r="AL696" s="357"/>
      <c r="AM696" s="357"/>
      <c r="AN696" s="357"/>
      <c r="AO696" s="357"/>
      <c r="AP696" s="357"/>
      <c r="AQ696" s="357"/>
      <c r="AR696" s="357"/>
      <c r="AS696" s="357"/>
      <c r="AT696" s="357"/>
      <c r="AU696" s="357"/>
      <c r="AV696" s="357"/>
      <c r="AW696" s="357"/>
      <c r="AX696" s="357"/>
      <c r="AY696" s="357"/>
      <c r="AZ696" s="357"/>
      <c r="BA696" s="357"/>
      <c r="BB696" s="357"/>
      <c r="BC696" s="357"/>
      <c r="BD696" s="357"/>
    </row>
    <row r="697" spans="7:56">
      <c r="G697" s="357"/>
      <c r="H697" s="357"/>
      <c r="I697" s="357"/>
      <c r="J697" s="357"/>
      <c r="K697" s="357"/>
      <c r="L697" s="357"/>
      <c r="M697" s="357"/>
      <c r="N697" s="357"/>
      <c r="O697" s="357"/>
      <c r="P697" s="357"/>
      <c r="Q697" s="357"/>
      <c r="R697" s="357"/>
      <c r="S697" s="357"/>
      <c r="T697" s="357"/>
      <c r="U697" s="357"/>
      <c r="V697" s="357"/>
      <c r="W697" s="357"/>
      <c r="X697" s="357"/>
      <c r="Y697" s="357"/>
      <c r="Z697" s="357"/>
      <c r="AA697" s="357"/>
      <c r="AB697" s="357"/>
      <c r="AC697" s="357"/>
      <c r="AD697" s="357"/>
      <c r="AE697" s="357"/>
      <c r="AF697" s="357"/>
      <c r="AG697" s="357"/>
      <c r="AH697" s="357"/>
      <c r="AI697" s="357"/>
      <c r="AJ697" s="357"/>
      <c r="AK697" s="357"/>
      <c r="AL697" s="357"/>
      <c r="AM697" s="357"/>
      <c r="AN697" s="357"/>
      <c r="AO697" s="357"/>
      <c r="AP697" s="357"/>
      <c r="AQ697" s="357"/>
      <c r="AR697" s="357"/>
      <c r="AS697" s="357"/>
      <c r="AT697" s="357"/>
      <c r="AU697" s="357"/>
      <c r="AV697" s="357"/>
      <c r="AW697" s="357"/>
      <c r="AX697" s="357"/>
      <c r="AY697" s="357"/>
      <c r="AZ697" s="357"/>
      <c r="BA697" s="357"/>
      <c r="BB697" s="357"/>
      <c r="BC697" s="357"/>
      <c r="BD697" s="357"/>
    </row>
    <row r="698" spans="7:56">
      <c r="G698" s="357"/>
      <c r="H698" s="357"/>
      <c r="I698" s="357"/>
      <c r="J698" s="357"/>
      <c r="K698" s="357"/>
      <c r="L698" s="357"/>
      <c r="M698" s="357"/>
      <c r="N698" s="357"/>
      <c r="O698" s="357"/>
      <c r="P698" s="357"/>
      <c r="Q698" s="357"/>
      <c r="R698" s="357"/>
      <c r="S698" s="357"/>
      <c r="T698" s="357"/>
      <c r="U698" s="357"/>
      <c r="V698" s="357"/>
      <c r="W698" s="357"/>
      <c r="X698" s="357"/>
      <c r="Y698" s="357"/>
      <c r="Z698" s="357"/>
      <c r="AA698" s="357"/>
      <c r="AB698" s="357"/>
      <c r="AC698" s="357"/>
      <c r="AD698" s="357"/>
      <c r="AE698" s="357"/>
      <c r="AF698" s="357"/>
      <c r="AG698" s="357"/>
      <c r="AH698" s="357"/>
      <c r="AI698" s="357"/>
      <c r="AJ698" s="357"/>
      <c r="AK698" s="357"/>
      <c r="AL698" s="357"/>
      <c r="AM698" s="357"/>
      <c r="AN698" s="357"/>
      <c r="AO698" s="357"/>
      <c r="AP698" s="357"/>
      <c r="AQ698" s="357"/>
      <c r="AR698" s="357"/>
      <c r="AS698" s="357"/>
      <c r="AT698" s="357"/>
      <c r="AU698" s="357"/>
      <c r="AV698" s="357"/>
      <c r="AW698" s="357"/>
      <c r="AX698" s="357"/>
      <c r="AY698" s="357"/>
      <c r="AZ698" s="357"/>
      <c r="BA698" s="357"/>
      <c r="BB698" s="357"/>
      <c r="BC698" s="357"/>
      <c r="BD698" s="357"/>
    </row>
    <row r="699" spans="7:56">
      <c r="G699" s="357"/>
      <c r="H699" s="357"/>
      <c r="I699" s="357"/>
      <c r="J699" s="357"/>
      <c r="K699" s="357"/>
      <c r="L699" s="357"/>
      <c r="M699" s="357"/>
      <c r="N699" s="357"/>
      <c r="O699" s="357"/>
      <c r="P699" s="357"/>
      <c r="Q699" s="357"/>
      <c r="R699" s="357"/>
      <c r="S699" s="357"/>
      <c r="T699" s="357"/>
      <c r="U699" s="357"/>
      <c r="V699" s="357"/>
      <c r="W699" s="357"/>
      <c r="X699" s="357"/>
      <c r="Y699" s="357"/>
      <c r="Z699" s="357"/>
      <c r="AA699" s="357"/>
      <c r="AB699" s="357"/>
      <c r="AC699" s="357"/>
      <c r="AD699" s="357"/>
      <c r="AE699" s="357"/>
      <c r="AF699" s="357"/>
      <c r="AG699" s="357"/>
      <c r="AH699" s="357"/>
      <c r="AI699" s="357"/>
      <c r="AJ699" s="357"/>
      <c r="AK699" s="357"/>
      <c r="AL699" s="357"/>
      <c r="AM699" s="357"/>
      <c r="AN699" s="357"/>
      <c r="AO699" s="357"/>
      <c r="AP699" s="357"/>
      <c r="AQ699" s="357"/>
      <c r="AR699" s="357"/>
      <c r="AS699" s="357"/>
      <c r="AT699" s="357"/>
      <c r="AU699" s="357"/>
      <c r="AV699" s="357"/>
      <c r="AW699" s="357"/>
      <c r="AX699" s="357"/>
      <c r="AY699" s="357"/>
      <c r="AZ699" s="357"/>
      <c r="BA699" s="357"/>
      <c r="BB699" s="357"/>
      <c r="BC699" s="357"/>
      <c r="BD699" s="357"/>
    </row>
    <row r="700" spans="7:56">
      <c r="G700" s="357"/>
      <c r="H700" s="357"/>
      <c r="I700" s="357"/>
      <c r="J700" s="357"/>
      <c r="K700" s="357"/>
      <c r="L700" s="357"/>
      <c r="M700" s="357"/>
      <c r="N700" s="357"/>
      <c r="O700" s="357"/>
      <c r="P700" s="357"/>
      <c r="Q700" s="357"/>
      <c r="R700" s="357"/>
      <c r="S700" s="357"/>
      <c r="T700" s="357"/>
      <c r="U700" s="357"/>
      <c r="V700" s="357"/>
      <c r="W700" s="357"/>
      <c r="X700" s="357"/>
      <c r="Y700" s="357"/>
      <c r="Z700" s="357"/>
      <c r="AA700" s="357"/>
      <c r="AB700" s="357"/>
      <c r="AC700" s="357"/>
      <c r="AD700" s="357"/>
      <c r="AE700" s="357"/>
      <c r="AF700" s="357"/>
      <c r="AG700" s="357"/>
      <c r="AH700" s="357"/>
      <c r="AI700" s="357"/>
      <c r="AJ700" s="357"/>
      <c r="AK700" s="357"/>
      <c r="AL700" s="357"/>
      <c r="AM700" s="357"/>
      <c r="AN700" s="357"/>
      <c r="AO700" s="357"/>
      <c r="AP700" s="357"/>
      <c r="AQ700" s="357"/>
      <c r="AR700" s="357"/>
      <c r="AS700" s="357"/>
      <c r="AT700" s="357"/>
      <c r="AU700" s="357"/>
      <c r="AV700" s="357"/>
      <c r="AW700" s="357"/>
      <c r="AX700" s="357"/>
      <c r="AY700" s="357"/>
      <c r="AZ700" s="357"/>
      <c r="BA700" s="357"/>
      <c r="BB700" s="357"/>
      <c r="BC700" s="357"/>
      <c r="BD700" s="357"/>
    </row>
    <row r="701" spans="7:56">
      <c r="G701" s="357"/>
      <c r="H701" s="357"/>
      <c r="I701" s="357"/>
      <c r="J701" s="357"/>
      <c r="K701" s="357"/>
      <c r="L701" s="357"/>
      <c r="M701" s="357"/>
      <c r="N701" s="357"/>
      <c r="O701" s="357"/>
      <c r="P701" s="357"/>
      <c r="Q701" s="357"/>
      <c r="R701" s="357"/>
      <c r="S701" s="357"/>
      <c r="T701" s="357"/>
      <c r="U701" s="357"/>
      <c r="V701" s="357"/>
      <c r="W701" s="357"/>
      <c r="X701" s="357"/>
      <c r="Y701" s="357"/>
      <c r="Z701" s="357"/>
      <c r="AA701" s="357"/>
      <c r="AB701" s="357"/>
      <c r="AC701" s="357"/>
      <c r="AD701" s="357"/>
      <c r="AE701" s="357"/>
      <c r="AF701" s="357"/>
      <c r="AG701" s="357"/>
      <c r="AH701" s="357"/>
      <c r="AI701" s="357"/>
      <c r="AJ701" s="357"/>
      <c r="AK701" s="357"/>
      <c r="AL701" s="357"/>
      <c r="AM701" s="357"/>
      <c r="AN701" s="357"/>
      <c r="AO701" s="357"/>
      <c r="AP701" s="357"/>
      <c r="AQ701" s="357"/>
      <c r="AR701" s="357"/>
      <c r="AS701" s="357"/>
      <c r="AT701" s="357"/>
      <c r="AU701" s="357"/>
      <c r="AV701" s="357"/>
      <c r="AW701" s="357"/>
      <c r="AX701" s="357"/>
      <c r="AY701" s="357"/>
      <c r="AZ701" s="357"/>
      <c r="BA701" s="357"/>
      <c r="BB701" s="357"/>
      <c r="BC701" s="357"/>
      <c r="BD701" s="357"/>
    </row>
    <row r="702" spans="7:56">
      <c r="G702" s="357"/>
      <c r="H702" s="357"/>
      <c r="I702" s="357"/>
      <c r="J702" s="357"/>
      <c r="K702" s="357"/>
      <c r="L702" s="357"/>
      <c r="M702" s="357"/>
      <c r="N702" s="357"/>
      <c r="O702" s="357"/>
      <c r="P702" s="357"/>
      <c r="Q702" s="357"/>
      <c r="R702" s="357"/>
      <c r="S702" s="357"/>
      <c r="T702" s="357"/>
      <c r="U702" s="357"/>
      <c r="V702" s="357"/>
      <c r="W702" s="357"/>
      <c r="X702" s="357"/>
      <c r="Y702" s="357"/>
      <c r="Z702" s="357"/>
      <c r="AA702" s="357"/>
      <c r="AB702" s="357"/>
      <c r="AC702" s="357"/>
      <c r="AD702" s="357"/>
      <c r="AE702" s="357"/>
      <c r="AF702" s="357"/>
      <c r="AG702" s="357"/>
      <c r="AH702" s="357"/>
      <c r="AI702" s="357"/>
      <c r="AJ702" s="357"/>
      <c r="AK702" s="357"/>
      <c r="AL702" s="357"/>
      <c r="AM702" s="357"/>
      <c r="AN702" s="357"/>
      <c r="AO702" s="357"/>
      <c r="AP702" s="357"/>
      <c r="AQ702" s="357"/>
      <c r="AR702" s="357"/>
      <c r="AS702" s="357"/>
      <c r="AT702" s="357"/>
      <c r="AU702" s="357"/>
      <c r="AV702" s="357"/>
      <c r="AW702" s="357"/>
      <c r="AX702" s="357"/>
      <c r="AY702" s="357"/>
      <c r="AZ702" s="357"/>
      <c r="BA702" s="357"/>
      <c r="BB702" s="357"/>
      <c r="BC702" s="357"/>
      <c r="BD702" s="357"/>
    </row>
    <row r="703" spans="7:56">
      <c r="G703" s="357"/>
      <c r="H703" s="357"/>
      <c r="I703" s="357"/>
      <c r="J703" s="357"/>
      <c r="K703" s="357"/>
      <c r="L703" s="357"/>
      <c r="M703" s="357"/>
      <c r="N703" s="357"/>
      <c r="O703" s="357"/>
      <c r="P703" s="357"/>
      <c r="Q703" s="357"/>
      <c r="R703" s="357"/>
      <c r="S703" s="357"/>
      <c r="T703" s="357"/>
      <c r="U703" s="357"/>
      <c r="V703" s="357"/>
      <c r="W703" s="357"/>
      <c r="X703" s="357"/>
      <c r="Y703" s="357"/>
      <c r="Z703" s="357"/>
      <c r="AA703" s="357"/>
      <c r="AB703" s="357"/>
      <c r="AC703" s="357"/>
      <c r="AD703" s="357"/>
      <c r="AE703" s="357"/>
      <c r="AF703" s="357"/>
      <c r="AG703" s="357"/>
      <c r="AH703" s="357"/>
      <c r="AI703" s="357"/>
      <c r="AJ703" s="357"/>
      <c r="AK703" s="357"/>
      <c r="AL703" s="357"/>
      <c r="AM703" s="357"/>
      <c r="AN703" s="357"/>
      <c r="AO703" s="357"/>
      <c r="AP703" s="357"/>
      <c r="AQ703" s="357"/>
      <c r="AR703" s="357"/>
      <c r="AS703" s="357"/>
      <c r="AT703" s="357"/>
      <c r="AU703" s="357"/>
      <c r="AV703" s="357"/>
      <c r="AW703" s="357"/>
      <c r="AX703" s="357"/>
      <c r="AY703" s="357"/>
      <c r="AZ703" s="357"/>
      <c r="BA703" s="357"/>
      <c r="BB703" s="357"/>
      <c r="BC703" s="357"/>
      <c r="BD703" s="357"/>
    </row>
    <row r="704" spans="7:56">
      <c r="G704" s="357"/>
      <c r="H704" s="357"/>
      <c r="I704" s="357"/>
      <c r="J704" s="357"/>
      <c r="K704" s="357"/>
      <c r="L704" s="357"/>
      <c r="M704" s="357"/>
      <c r="N704" s="357"/>
      <c r="O704" s="357"/>
      <c r="P704" s="357"/>
      <c r="Q704" s="357"/>
      <c r="R704" s="357"/>
      <c r="S704" s="357"/>
      <c r="T704" s="357"/>
      <c r="U704" s="357"/>
      <c r="V704" s="357"/>
      <c r="W704" s="357"/>
      <c r="X704" s="357"/>
      <c r="Y704" s="357"/>
      <c r="Z704" s="357"/>
      <c r="AA704" s="357"/>
      <c r="AB704" s="357"/>
      <c r="AC704" s="357"/>
      <c r="AD704" s="357"/>
      <c r="AE704" s="357"/>
      <c r="AF704" s="357"/>
      <c r="AG704" s="357"/>
      <c r="AH704" s="357"/>
      <c r="AI704" s="357"/>
      <c r="AJ704" s="357"/>
      <c r="AK704" s="357"/>
      <c r="AL704" s="357"/>
      <c r="AM704" s="357"/>
      <c r="AN704" s="357"/>
      <c r="AO704" s="357"/>
      <c r="AP704" s="357"/>
      <c r="AQ704" s="357"/>
      <c r="AR704" s="357"/>
      <c r="AS704" s="357"/>
      <c r="AT704" s="357"/>
      <c r="AU704" s="357"/>
      <c r="AV704" s="357"/>
      <c r="AW704" s="357"/>
      <c r="AX704" s="357"/>
      <c r="AY704" s="357"/>
      <c r="AZ704" s="357"/>
      <c r="BA704" s="357"/>
      <c r="BB704" s="357"/>
      <c r="BC704" s="357"/>
      <c r="BD704" s="357"/>
    </row>
    <row r="705" spans="7:56">
      <c r="G705" s="357"/>
      <c r="H705" s="357"/>
      <c r="I705" s="357"/>
      <c r="J705" s="357"/>
      <c r="K705" s="357"/>
      <c r="L705" s="357"/>
      <c r="M705" s="357"/>
      <c r="N705" s="357"/>
      <c r="O705" s="357"/>
      <c r="P705" s="357"/>
      <c r="Q705" s="357"/>
      <c r="R705" s="357"/>
      <c r="S705" s="357"/>
      <c r="T705" s="357"/>
      <c r="U705" s="357"/>
      <c r="V705" s="357"/>
      <c r="W705" s="357"/>
      <c r="X705" s="357"/>
      <c r="Y705" s="357"/>
      <c r="Z705" s="357"/>
      <c r="AA705" s="357"/>
      <c r="AB705" s="357"/>
      <c r="AC705" s="357"/>
      <c r="AD705" s="357"/>
      <c r="AE705" s="357"/>
      <c r="AF705" s="357"/>
      <c r="AG705" s="357"/>
      <c r="AH705" s="357"/>
      <c r="AI705" s="357"/>
      <c r="AJ705" s="357"/>
      <c r="AK705" s="357"/>
      <c r="AL705" s="357"/>
      <c r="AM705" s="357"/>
      <c r="AN705" s="357"/>
      <c r="AO705" s="357"/>
      <c r="AP705" s="357"/>
      <c r="AQ705" s="357"/>
      <c r="AR705" s="357"/>
      <c r="AS705" s="357"/>
      <c r="AT705" s="357"/>
      <c r="AU705" s="357"/>
      <c r="AV705" s="357"/>
      <c r="AW705" s="357"/>
      <c r="AX705" s="357"/>
      <c r="AY705" s="357"/>
      <c r="AZ705" s="357"/>
      <c r="BA705" s="357"/>
      <c r="BB705" s="357"/>
      <c r="BC705" s="357"/>
      <c r="BD705" s="357"/>
    </row>
    <row r="706" spans="7:56">
      <c r="G706" s="357"/>
      <c r="H706" s="357"/>
      <c r="I706" s="357"/>
      <c r="J706" s="357"/>
      <c r="K706" s="357"/>
      <c r="L706" s="357"/>
      <c r="M706" s="357"/>
      <c r="N706" s="357"/>
      <c r="O706" s="357"/>
      <c r="P706" s="357"/>
      <c r="Q706" s="357"/>
      <c r="R706" s="357"/>
      <c r="S706" s="357"/>
      <c r="T706" s="357"/>
      <c r="U706" s="357"/>
      <c r="V706" s="357"/>
      <c r="W706" s="357"/>
      <c r="X706" s="357"/>
      <c r="Y706" s="357"/>
      <c r="Z706" s="357"/>
      <c r="AA706" s="357"/>
      <c r="AB706" s="357"/>
      <c r="AC706" s="357"/>
      <c r="AD706" s="357"/>
      <c r="AE706" s="357"/>
      <c r="AF706" s="357"/>
      <c r="AG706" s="357"/>
      <c r="AH706" s="357"/>
      <c r="AI706" s="357"/>
      <c r="AJ706" s="357"/>
      <c r="AK706" s="357"/>
      <c r="AL706" s="357"/>
      <c r="AM706" s="357"/>
      <c r="AN706" s="357"/>
      <c r="AO706" s="357"/>
      <c r="AP706" s="357"/>
      <c r="AQ706" s="357"/>
      <c r="AR706" s="357"/>
      <c r="AS706" s="357"/>
      <c r="AT706" s="357"/>
      <c r="AU706" s="357"/>
      <c r="AV706" s="357"/>
      <c r="AW706" s="357"/>
      <c r="AX706" s="357"/>
      <c r="AY706" s="357"/>
      <c r="AZ706" s="357"/>
      <c r="BA706" s="357"/>
      <c r="BB706" s="357"/>
      <c r="BC706" s="357"/>
      <c r="BD706" s="357"/>
    </row>
    <row r="707" spans="7:56">
      <c r="G707" s="357"/>
      <c r="H707" s="357"/>
      <c r="I707" s="357"/>
      <c r="J707" s="357"/>
      <c r="K707" s="357"/>
      <c r="L707" s="357"/>
      <c r="M707" s="357"/>
      <c r="N707" s="357"/>
      <c r="O707" s="357"/>
      <c r="P707" s="357"/>
      <c r="Q707" s="357"/>
      <c r="R707" s="357"/>
      <c r="S707" s="357"/>
      <c r="T707" s="357"/>
      <c r="U707" s="357"/>
      <c r="V707" s="357"/>
      <c r="W707" s="357"/>
      <c r="X707" s="357"/>
      <c r="Y707" s="357"/>
      <c r="Z707" s="357"/>
      <c r="AA707" s="357"/>
      <c r="AB707" s="357"/>
      <c r="AC707" s="357"/>
      <c r="AD707" s="357"/>
      <c r="AE707" s="357"/>
      <c r="AF707" s="357"/>
      <c r="AG707" s="357"/>
      <c r="AH707" s="357"/>
      <c r="AI707" s="357"/>
      <c r="AJ707" s="357"/>
      <c r="AK707" s="357"/>
      <c r="AL707" s="357"/>
      <c r="AM707" s="357"/>
      <c r="AN707" s="357"/>
      <c r="AO707" s="357"/>
      <c r="AP707" s="357"/>
      <c r="AQ707" s="357"/>
      <c r="AR707" s="357"/>
      <c r="AS707" s="357"/>
      <c r="AT707" s="357"/>
      <c r="AU707" s="357"/>
      <c r="AV707" s="357"/>
      <c r="AW707" s="357"/>
      <c r="AX707" s="357"/>
      <c r="AY707" s="357"/>
      <c r="AZ707" s="357"/>
      <c r="BA707" s="357"/>
      <c r="BB707" s="357"/>
      <c r="BC707" s="357"/>
      <c r="BD707" s="357"/>
    </row>
    <row r="708" spans="7:56">
      <c r="G708" s="357"/>
      <c r="H708" s="357"/>
      <c r="I708" s="357"/>
      <c r="J708" s="357"/>
      <c r="K708" s="357"/>
      <c r="L708" s="357"/>
      <c r="M708" s="357"/>
      <c r="N708" s="357"/>
      <c r="O708" s="357"/>
      <c r="P708" s="357"/>
      <c r="Q708" s="357"/>
      <c r="R708" s="357"/>
      <c r="S708" s="357"/>
      <c r="T708" s="357"/>
      <c r="U708" s="357"/>
      <c r="V708" s="357"/>
      <c r="W708" s="357"/>
      <c r="X708" s="357"/>
      <c r="Y708" s="357"/>
      <c r="Z708" s="357"/>
      <c r="AA708" s="357"/>
      <c r="AB708" s="357"/>
      <c r="AC708" s="357"/>
      <c r="AD708" s="357"/>
      <c r="AE708" s="357"/>
      <c r="AF708" s="357"/>
      <c r="AG708" s="357"/>
      <c r="AH708" s="357"/>
      <c r="AI708" s="357"/>
      <c r="AJ708" s="357"/>
      <c r="AK708" s="357"/>
      <c r="AL708" s="357"/>
      <c r="AM708" s="357"/>
      <c r="AN708" s="357"/>
      <c r="AO708" s="357"/>
      <c r="AP708" s="357"/>
      <c r="AQ708" s="357"/>
      <c r="AR708" s="357"/>
      <c r="AS708" s="357"/>
      <c r="AT708" s="357"/>
      <c r="AU708" s="357"/>
      <c r="AV708" s="357"/>
      <c r="AW708" s="357"/>
      <c r="AX708" s="357"/>
      <c r="AY708" s="357"/>
      <c r="AZ708" s="357"/>
      <c r="BA708" s="357"/>
      <c r="BB708" s="357"/>
      <c r="BC708" s="357"/>
      <c r="BD708" s="357"/>
    </row>
    <row r="709" spans="7:56">
      <c r="G709" s="357"/>
      <c r="H709" s="357"/>
      <c r="I709" s="357"/>
      <c r="J709" s="357"/>
      <c r="K709" s="357"/>
      <c r="L709" s="357"/>
      <c r="M709" s="357"/>
      <c r="N709" s="357"/>
      <c r="O709" s="357"/>
      <c r="P709" s="357"/>
      <c r="Q709" s="357"/>
      <c r="R709" s="357"/>
      <c r="S709" s="357"/>
      <c r="T709" s="357"/>
      <c r="U709" s="357"/>
      <c r="V709" s="357"/>
      <c r="W709" s="357"/>
      <c r="X709" s="357"/>
      <c r="Y709" s="357"/>
      <c r="Z709" s="357"/>
      <c r="AA709" s="357"/>
      <c r="AB709" s="357"/>
      <c r="AC709" s="357"/>
      <c r="AD709" s="357"/>
      <c r="AE709" s="357"/>
      <c r="AF709" s="357"/>
      <c r="AG709" s="357"/>
      <c r="AH709" s="357"/>
      <c r="AI709" s="357"/>
      <c r="AJ709" s="357"/>
      <c r="AK709" s="357"/>
      <c r="AL709" s="357"/>
      <c r="AM709" s="357"/>
      <c r="AN709" s="357"/>
      <c r="AO709" s="357"/>
      <c r="AP709" s="357"/>
      <c r="AQ709" s="357"/>
      <c r="AR709" s="357"/>
      <c r="AS709" s="357"/>
      <c r="AT709" s="357"/>
      <c r="AU709" s="357"/>
      <c r="AV709" s="357"/>
      <c r="AW709" s="357"/>
      <c r="AX709" s="357"/>
      <c r="AY709" s="357"/>
      <c r="AZ709" s="357"/>
      <c r="BA709" s="357"/>
      <c r="BB709" s="357"/>
      <c r="BC709" s="357"/>
      <c r="BD709" s="357"/>
    </row>
    <row r="710" spans="7:56">
      <c r="G710" s="357"/>
      <c r="H710" s="357"/>
      <c r="I710" s="357"/>
      <c r="J710" s="357"/>
      <c r="K710" s="357"/>
      <c r="L710" s="357"/>
      <c r="M710" s="357"/>
      <c r="N710" s="357"/>
      <c r="O710" s="357"/>
      <c r="P710" s="357"/>
      <c r="Q710" s="357"/>
      <c r="R710" s="357"/>
      <c r="S710" s="357"/>
      <c r="T710" s="357"/>
      <c r="U710" s="357"/>
      <c r="V710" s="357"/>
      <c r="W710" s="357"/>
      <c r="X710" s="357"/>
      <c r="Y710" s="357"/>
      <c r="Z710" s="357"/>
      <c r="AA710" s="357"/>
      <c r="AB710" s="357"/>
      <c r="AC710" s="357"/>
      <c r="AD710" s="357"/>
      <c r="AE710" s="357"/>
      <c r="AF710" s="357"/>
      <c r="AG710" s="357"/>
      <c r="AH710" s="357"/>
      <c r="AI710" s="357"/>
      <c r="AJ710" s="357"/>
      <c r="AK710" s="357"/>
      <c r="AL710" s="357"/>
      <c r="AM710" s="357"/>
      <c r="AN710" s="357"/>
      <c r="AO710" s="357"/>
      <c r="AP710" s="357"/>
      <c r="AQ710" s="357"/>
      <c r="AR710" s="357"/>
      <c r="AS710" s="357"/>
      <c r="AT710" s="357"/>
      <c r="AU710" s="357"/>
      <c r="AV710" s="357"/>
      <c r="AW710" s="357"/>
      <c r="AX710" s="357"/>
      <c r="AY710" s="357"/>
      <c r="AZ710" s="357"/>
      <c r="BA710" s="357"/>
      <c r="BB710" s="357"/>
      <c r="BC710" s="357"/>
      <c r="BD710" s="357"/>
    </row>
    <row r="711" spans="7:56">
      <c r="G711" s="357"/>
      <c r="H711" s="357"/>
      <c r="I711" s="357"/>
      <c r="J711" s="357"/>
      <c r="K711" s="357"/>
      <c r="L711" s="357"/>
      <c r="M711" s="357"/>
      <c r="N711" s="357"/>
      <c r="O711" s="357"/>
      <c r="P711" s="357"/>
      <c r="Q711" s="357"/>
      <c r="R711" s="357"/>
      <c r="S711" s="357"/>
      <c r="T711" s="357"/>
      <c r="U711" s="357"/>
      <c r="V711" s="357"/>
      <c r="W711" s="357"/>
      <c r="X711" s="357"/>
      <c r="Y711" s="357"/>
      <c r="Z711" s="357"/>
      <c r="AA711" s="357"/>
      <c r="AB711" s="357"/>
      <c r="AC711" s="357"/>
      <c r="AD711" s="357"/>
      <c r="AE711" s="357"/>
      <c r="AF711" s="357"/>
      <c r="AG711" s="357"/>
      <c r="AH711" s="357"/>
      <c r="AI711" s="357"/>
      <c r="AJ711" s="357"/>
      <c r="AK711" s="357"/>
      <c r="AL711" s="357"/>
      <c r="AM711" s="357"/>
      <c r="AN711" s="357"/>
      <c r="AO711" s="357"/>
      <c r="AP711" s="357"/>
      <c r="AQ711" s="357"/>
      <c r="AR711" s="357"/>
      <c r="AS711" s="357"/>
      <c r="AT711" s="357"/>
      <c r="AU711" s="357"/>
      <c r="AV711" s="357"/>
      <c r="AW711" s="357"/>
      <c r="AX711" s="357"/>
      <c r="AY711" s="357"/>
      <c r="AZ711" s="357"/>
      <c r="BA711" s="357"/>
      <c r="BB711" s="357"/>
      <c r="BC711" s="357"/>
      <c r="BD711" s="357"/>
    </row>
    <row r="712" spans="7:56">
      <c r="G712" s="357"/>
      <c r="H712" s="357"/>
      <c r="I712" s="357"/>
      <c r="J712" s="357"/>
      <c r="K712" s="357"/>
      <c r="L712" s="357"/>
      <c r="M712" s="357"/>
      <c r="N712" s="357"/>
      <c r="O712" s="357"/>
      <c r="P712" s="357"/>
      <c r="Q712" s="357"/>
      <c r="R712" s="357"/>
      <c r="S712" s="357"/>
      <c r="T712" s="357"/>
      <c r="U712" s="357"/>
      <c r="V712" s="357"/>
      <c r="W712" s="357"/>
      <c r="X712" s="357"/>
      <c r="Y712" s="357"/>
      <c r="Z712" s="357"/>
      <c r="AA712" s="357"/>
      <c r="AB712" s="357"/>
      <c r="AC712" s="357"/>
      <c r="AD712" s="357"/>
      <c r="AE712" s="357"/>
      <c r="AF712" s="357"/>
      <c r="AG712" s="357"/>
      <c r="AH712" s="357"/>
      <c r="AI712" s="357"/>
      <c r="AJ712" s="357"/>
      <c r="AK712" s="357"/>
      <c r="AL712" s="357"/>
      <c r="AM712" s="357"/>
      <c r="AN712" s="357"/>
      <c r="AO712" s="357"/>
      <c r="AP712" s="357"/>
      <c r="AQ712" s="357"/>
      <c r="AR712" s="357"/>
      <c r="AS712" s="357"/>
      <c r="AT712" s="357"/>
      <c r="AU712" s="357"/>
      <c r="AV712" s="357"/>
      <c r="AW712" s="357"/>
      <c r="AX712" s="357"/>
      <c r="AY712" s="357"/>
      <c r="AZ712" s="357"/>
      <c r="BA712" s="357"/>
      <c r="BB712" s="357"/>
      <c r="BC712" s="357"/>
      <c r="BD712" s="357"/>
    </row>
    <row r="713" spans="7:56">
      <c r="G713" s="357"/>
      <c r="H713" s="357"/>
      <c r="I713" s="357"/>
      <c r="J713" s="357"/>
      <c r="K713" s="357"/>
      <c r="L713" s="357"/>
      <c r="M713" s="357"/>
      <c r="N713" s="357"/>
      <c r="O713" s="357"/>
      <c r="P713" s="357"/>
      <c r="Q713" s="357"/>
      <c r="R713" s="357"/>
      <c r="S713" s="357"/>
      <c r="T713" s="357"/>
      <c r="U713" s="357"/>
      <c r="V713" s="357"/>
      <c r="W713" s="357"/>
      <c r="X713" s="357"/>
      <c r="Y713" s="357"/>
      <c r="Z713" s="357"/>
      <c r="AA713" s="357"/>
      <c r="AB713" s="357"/>
      <c r="AC713" s="357"/>
      <c r="AD713" s="357"/>
      <c r="AE713" s="357"/>
      <c r="AF713" s="357"/>
      <c r="AG713" s="357"/>
      <c r="AH713" s="357"/>
      <c r="AI713" s="357"/>
      <c r="AJ713" s="357"/>
      <c r="AK713" s="357"/>
      <c r="AL713" s="357"/>
      <c r="AM713" s="357"/>
      <c r="AN713" s="357"/>
      <c r="AO713" s="357"/>
      <c r="AP713" s="357"/>
      <c r="AQ713" s="357"/>
      <c r="AR713" s="357"/>
      <c r="AS713" s="357"/>
      <c r="AT713" s="357"/>
      <c r="AU713" s="357"/>
      <c r="AV713" s="357"/>
      <c r="AW713" s="357"/>
      <c r="AX713" s="357"/>
      <c r="AY713" s="357"/>
      <c r="AZ713" s="357"/>
      <c r="BA713" s="357"/>
      <c r="BB713" s="357"/>
      <c r="BC713" s="357"/>
      <c r="BD713" s="357"/>
    </row>
    <row r="714" spans="7:56">
      <c r="G714" s="357"/>
      <c r="H714" s="357"/>
      <c r="I714" s="357"/>
      <c r="J714" s="357"/>
      <c r="K714" s="357"/>
      <c r="L714" s="357"/>
      <c r="M714" s="357"/>
      <c r="N714" s="357"/>
      <c r="O714" s="357"/>
      <c r="P714" s="357"/>
      <c r="Q714" s="357"/>
      <c r="R714" s="357"/>
      <c r="S714" s="357"/>
      <c r="T714" s="357"/>
      <c r="U714" s="357"/>
      <c r="V714" s="357"/>
      <c r="W714" s="357"/>
      <c r="X714" s="357"/>
      <c r="Y714" s="357"/>
      <c r="Z714" s="357"/>
      <c r="AA714" s="357"/>
      <c r="AB714" s="357"/>
      <c r="AC714" s="357"/>
      <c r="AD714" s="357"/>
      <c r="AE714" s="357"/>
      <c r="AF714" s="357"/>
      <c r="AG714" s="357"/>
      <c r="AH714" s="357"/>
      <c r="AI714" s="357"/>
      <c r="AJ714" s="357"/>
      <c r="AK714" s="357"/>
      <c r="AL714" s="357"/>
      <c r="AM714" s="357"/>
      <c r="AN714" s="357"/>
      <c r="AO714" s="357"/>
      <c r="AP714" s="357"/>
      <c r="AQ714" s="357"/>
      <c r="AR714" s="357"/>
      <c r="AS714" s="357"/>
      <c r="AT714" s="357"/>
      <c r="AU714" s="357"/>
      <c r="AV714" s="357"/>
      <c r="AW714" s="357"/>
      <c r="AX714" s="357"/>
      <c r="AY714" s="357"/>
      <c r="AZ714" s="357"/>
      <c r="BA714" s="357"/>
      <c r="BB714" s="357"/>
      <c r="BC714" s="357"/>
      <c r="BD714" s="357"/>
    </row>
    <row r="715" spans="7:56">
      <c r="G715" s="357"/>
      <c r="H715" s="357"/>
      <c r="I715" s="357"/>
      <c r="J715" s="357"/>
      <c r="K715" s="357"/>
      <c r="L715" s="357"/>
      <c r="M715" s="357"/>
      <c r="N715" s="357"/>
      <c r="O715" s="357"/>
      <c r="P715" s="357"/>
      <c r="Q715" s="357"/>
      <c r="R715" s="357"/>
      <c r="S715" s="357"/>
      <c r="T715" s="357"/>
      <c r="U715" s="357"/>
      <c r="V715" s="357"/>
      <c r="W715" s="357"/>
      <c r="X715" s="357"/>
      <c r="Y715" s="357"/>
      <c r="Z715" s="357"/>
      <c r="AA715" s="357"/>
      <c r="AB715" s="357"/>
      <c r="AC715" s="357"/>
      <c r="AD715" s="357"/>
      <c r="AE715" s="357"/>
      <c r="AF715" s="357"/>
      <c r="AG715" s="357"/>
      <c r="AH715" s="357"/>
      <c r="AI715" s="357"/>
      <c r="AJ715" s="357"/>
      <c r="AK715" s="357"/>
      <c r="AL715" s="357"/>
      <c r="AM715" s="357"/>
      <c r="AN715" s="357"/>
      <c r="AO715" s="357"/>
      <c r="AP715" s="357"/>
      <c r="AQ715" s="357"/>
      <c r="AR715" s="357"/>
      <c r="AS715" s="357"/>
      <c r="AT715" s="357"/>
      <c r="AU715" s="357"/>
      <c r="AV715" s="357"/>
      <c r="AW715" s="357"/>
      <c r="AX715" s="357"/>
      <c r="AY715" s="357"/>
      <c r="AZ715" s="357"/>
      <c r="BA715" s="357"/>
      <c r="BB715" s="357"/>
      <c r="BC715" s="357"/>
      <c r="BD715" s="357"/>
    </row>
    <row r="716" spans="7:56">
      <c r="G716" s="357"/>
      <c r="H716" s="357"/>
      <c r="I716" s="357"/>
      <c r="J716" s="357"/>
      <c r="K716" s="357"/>
      <c r="L716" s="357"/>
      <c r="M716" s="357"/>
      <c r="N716" s="357"/>
      <c r="O716" s="357"/>
      <c r="P716" s="357"/>
      <c r="Q716" s="357"/>
      <c r="R716" s="357"/>
      <c r="S716" s="357"/>
      <c r="T716" s="357"/>
      <c r="U716" s="357"/>
      <c r="V716" s="357"/>
      <c r="W716" s="357"/>
      <c r="X716" s="357"/>
      <c r="Y716" s="357"/>
      <c r="Z716" s="357"/>
      <c r="AA716" s="357"/>
      <c r="AB716" s="357"/>
      <c r="AC716" s="357"/>
      <c r="AD716" s="357"/>
      <c r="AE716" s="357"/>
      <c r="AF716" s="357"/>
      <c r="AG716" s="357"/>
      <c r="AH716" s="357"/>
      <c r="AI716" s="357"/>
      <c r="AJ716" s="357"/>
      <c r="AK716" s="357"/>
      <c r="AL716" s="357"/>
      <c r="AM716" s="357"/>
      <c r="AN716" s="357"/>
      <c r="AO716" s="357"/>
      <c r="AP716" s="357"/>
      <c r="AQ716" s="357"/>
      <c r="AR716" s="357"/>
      <c r="AS716" s="357"/>
      <c r="AT716" s="357"/>
      <c r="AU716" s="357"/>
      <c r="AV716" s="357"/>
      <c r="AW716" s="357"/>
      <c r="AX716" s="357"/>
      <c r="AY716" s="357"/>
      <c r="AZ716" s="357"/>
      <c r="BA716" s="357"/>
      <c r="BB716" s="357"/>
      <c r="BC716" s="357"/>
      <c r="BD716" s="357"/>
    </row>
    <row r="717" spans="7:56">
      <c r="G717" s="357"/>
      <c r="H717" s="357"/>
      <c r="I717" s="357"/>
      <c r="J717" s="357"/>
      <c r="K717" s="357"/>
      <c r="L717" s="357"/>
      <c r="M717" s="357"/>
      <c r="N717" s="357"/>
      <c r="O717" s="357"/>
      <c r="P717" s="357"/>
      <c r="Q717" s="357"/>
      <c r="R717" s="357"/>
      <c r="S717" s="357"/>
      <c r="T717" s="357"/>
      <c r="U717" s="357"/>
      <c r="V717" s="357"/>
      <c r="W717" s="357"/>
      <c r="X717" s="357"/>
      <c r="Y717" s="357"/>
      <c r="Z717" s="357"/>
      <c r="AA717" s="357"/>
      <c r="AB717" s="357"/>
      <c r="AC717" s="357"/>
      <c r="AD717" s="357"/>
      <c r="AE717" s="357"/>
      <c r="AF717" s="357"/>
      <c r="AG717" s="357"/>
      <c r="AH717" s="357"/>
      <c r="AI717" s="357"/>
      <c r="AJ717" s="357"/>
      <c r="AK717" s="357"/>
      <c r="AL717" s="357"/>
      <c r="AM717" s="357"/>
      <c r="AN717" s="357"/>
      <c r="AO717" s="357"/>
      <c r="AP717" s="357"/>
      <c r="AQ717" s="357"/>
      <c r="AR717" s="357"/>
      <c r="AS717" s="357"/>
      <c r="AT717" s="357"/>
      <c r="AU717" s="357"/>
      <c r="AV717" s="357"/>
      <c r="AW717" s="357"/>
      <c r="AX717" s="357"/>
      <c r="AY717" s="357"/>
      <c r="AZ717" s="357"/>
      <c r="BA717" s="357"/>
      <c r="BB717" s="357"/>
      <c r="BC717" s="357"/>
      <c r="BD717" s="357"/>
    </row>
    <row r="718" spans="7:56">
      <c r="G718" s="357"/>
      <c r="H718" s="357"/>
      <c r="I718" s="357"/>
      <c r="J718" s="357"/>
      <c r="K718" s="357"/>
      <c r="L718" s="357"/>
      <c r="M718" s="357"/>
      <c r="N718" s="357"/>
      <c r="O718" s="357"/>
      <c r="P718" s="357"/>
      <c r="Q718" s="357"/>
      <c r="R718" s="357"/>
      <c r="S718" s="357"/>
      <c r="T718" s="357"/>
      <c r="U718" s="357"/>
      <c r="V718" s="357"/>
      <c r="W718" s="357"/>
      <c r="X718" s="357"/>
      <c r="Y718" s="357"/>
      <c r="Z718" s="357"/>
      <c r="AA718" s="357"/>
      <c r="AB718" s="357"/>
      <c r="AC718" s="357"/>
      <c r="AD718" s="357"/>
      <c r="AE718" s="357"/>
      <c r="AF718" s="357"/>
      <c r="AG718" s="357"/>
      <c r="AH718" s="357"/>
      <c r="AI718" s="357"/>
      <c r="AJ718" s="357"/>
      <c r="AK718" s="357"/>
      <c r="AL718" s="357"/>
      <c r="AM718" s="357"/>
      <c r="AN718" s="357"/>
      <c r="AO718" s="357"/>
      <c r="AP718" s="357"/>
      <c r="AQ718" s="357"/>
      <c r="AR718" s="357"/>
      <c r="AS718" s="357"/>
      <c r="AT718" s="357"/>
      <c r="AU718" s="357"/>
      <c r="AV718" s="357"/>
      <c r="AW718" s="357"/>
      <c r="AX718" s="357"/>
      <c r="AY718" s="357"/>
      <c r="AZ718" s="357"/>
      <c r="BA718" s="357"/>
      <c r="BB718" s="357"/>
      <c r="BC718" s="357"/>
      <c r="BD718" s="357"/>
    </row>
    <row r="719" spans="7:56">
      <c r="G719" s="357"/>
      <c r="H719" s="357"/>
      <c r="I719" s="357"/>
      <c r="J719" s="357"/>
      <c r="K719" s="357"/>
      <c r="L719" s="357"/>
      <c r="M719" s="357"/>
      <c r="N719" s="357"/>
      <c r="O719" s="357"/>
      <c r="P719" s="357"/>
      <c r="Q719" s="357"/>
      <c r="R719" s="357"/>
      <c r="S719" s="357"/>
      <c r="T719" s="357"/>
      <c r="U719" s="357"/>
      <c r="V719" s="357"/>
      <c r="W719" s="357"/>
      <c r="X719" s="357"/>
      <c r="Y719" s="357"/>
      <c r="Z719" s="357"/>
      <c r="AA719" s="357"/>
      <c r="AB719" s="357"/>
      <c r="AC719" s="357"/>
      <c r="AD719" s="357"/>
      <c r="AE719" s="357"/>
      <c r="AF719" s="357"/>
      <c r="AG719" s="357"/>
      <c r="AH719" s="357"/>
      <c r="AI719" s="357"/>
      <c r="AJ719" s="357"/>
      <c r="AK719" s="357"/>
      <c r="AL719" s="357"/>
      <c r="AM719" s="357"/>
      <c r="AN719" s="357"/>
      <c r="AO719" s="357"/>
      <c r="AP719" s="357"/>
      <c r="AQ719" s="357"/>
      <c r="AR719" s="357"/>
      <c r="AS719" s="357"/>
      <c r="AT719" s="357"/>
      <c r="AU719" s="357"/>
      <c r="AV719" s="357"/>
      <c r="AW719" s="357"/>
      <c r="AX719" s="357"/>
      <c r="AY719" s="357"/>
      <c r="AZ719" s="357"/>
      <c r="BA719" s="357"/>
      <c r="BB719" s="357"/>
      <c r="BC719" s="357"/>
      <c r="BD719" s="357"/>
    </row>
    <row r="720" spans="7:56">
      <c r="G720" s="357"/>
      <c r="H720" s="357"/>
      <c r="I720" s="357"/>
      <c r="J720" s="357"/>
      <c r="K720" s="357"/>
      <c r="L720" s="357"/>
      <c r="M720" s="357"/>
      <c r="N720" s="357"/>
      <c r="O720" s="357"/>
      <c r="P720" s="357"/>
      <c r="Q720" s="357"/>
      <c r="R720" s="357"/>
      <c r="S720" s="357"/>
      <c r="T720" s="357"/>
      <c r="U720" s="357"/>
      <c r="V720" s="357"/>
      <c r="W720" s="357"/>
      <c r="X720" s="357"/>
      <c r="Y720" s="357"/>
      <c r="Z720" s="357"/>
      <c r="AA720" s="357"/>
      <c r="AB720" s="357"/>
      <c r="AC720" s="357"/>
      <c r="AD720" s="357"/>
      <c r="AE720" s="357"/>
      <c r="AF720" s="357"/>
      <c r="AG720" s="357"/>
      <c r="AH720" s="357"/>
      <c r="AI720" s="357"/>
      <c r="AJ720" s="357"/>
      <c r="AK720" s="357"/>
      <c r="AL720" s="357"/>
      <c r="AM720" s="357"/>
      <c r="AN720" s="357"/>
      <c r="AO720" s="357"/>
      <c r="AP720" s="357"/>
      <c r="AQ720" s="357"/>
      <c r="AR720" s="357"/>
      <c r="AS720" s="357"/>
      <c r="AT720" s="357"/>
      <c r="AU720" s="357"/>
      <c r="AV720" s="357"/>
      <c r="AW720" s="357"/>
      <c r="AX720" s="357"/>
      <c r="AY720" s="357"/>
      <c r="AZ720" s="357"/>
      <c r="BA720" s="357"/>
      <c r="BB720" s="357"/>
      <c r="BC720" s="357"/>
      <c r="BD720" s="357"/>
    </row>
    <row r="721" spans="7:56">
      <c r="G721" s="357"/>
      <c r="H721" s="357"/>
      <c r="I721" s="357"/>
      <c r="J721" s="357"/>
      <c r="K721" s="357"/>
      <c r="L721" s="357"/>
      <c r="M721" s="357"/>
      <c r="N721" s="357"/>
      <c r="O721" s="357"/>
      <c r="P721" s="357"/>
      <c r="Q721" s="357"/>
      <c r="R721" s="357"/>
      <c r="S721" s="357"/>
      <c r="T721" s="357"/>
      <c r="U721" s="357"/>
      <c r="V721" s="357"/>
      <c r="W721" s="357"/>
      <c r="X721" s="357"/>
      <c r="Y721" s="357"/>
      <c r="Z721" s="357"/>
      <c r="AA721" s="357"/>
      <c r="AB721" s="357"/>
      <c r="AC721" s="357"/>
      <c r="AD721" s="357"/>
      <c r="AE721" s="357"/>
      <c r="AF721" s="357"/>
      <c r="AG721" s="357"/>
      <c r="AH721" s="357"/>
      <c r="AI721" s="357"/>
      <c r="AJ721" s="357"/>
      <c r="AK721" s="357"/>
      <c r="AL721" s="357"/>
      <c r="AM721" s="357"/>
      <c r="AN721" s="357"/>
      <c r="AO721" s="357"/>
      <c r="AP721" s="357"/>
      <c r="AQ721" s="357"/>
      <c r="AR721" s="357"/>
      <c r="AS721" s="357"/>
      <c r="AT721" s="357"/>
      <c r="AU721" s="357"/>
      <c r="AV721" s="357"/>
      <c r="AW721" s="357"/>
      <c r="AX721" s="357"/>
      <c r="AY721" s="357"/>
      <c r="AZ721" s="357"/>
      <c r="BA721" s="357"/>
      <c r="BB721" s="357"/>
      <c r="BC721" s="357"/>
      <c r="BD721" s="357"/>
    </row>
    <row r="722" spans="7:56">
      <c r="G722" s="357"/>
      <c r="H722" s="357"/>
      <c r="I722" s="357"/>
      <c r="J722" s="357"/>
      <c r="K722" s="357"/>
      <c r="L722" s="357"/>
      <c r="M722" s="357"/>
      <c r="N722" s="357"/>
      <c r="O722" s="357"/>
      <c r="P722" s="357"/>
      <c r="Q722" s="357"/>
      <c r="R722" s="357"/>
      <c r="S722" s="357"/>
      <c r="T722" s="357"/>
      <c r="U722" s="357"/>
      <c r="V722" s="357"/>
      <c r="W722" s="357"/>
      <c r="X722" s="357"/>
      <c r="Y722" s="357"/>
      <c r="Z722" s="357"/>
      <c r="AA722" s="357"/>
      <c r="AB722" s="357"/>
      <c r="AC722" s="357"/>
      <c r="AD722" s="357"/>
      <c r="AE722" s="357"/>
      <c r="AF722" s="357"/>
      <c r="AG722" s="357"/>
      <c r="AH722" s="357"/>
      <c r="AI722" s="357"/>
      <c r="AJ722" s="357"/>
      <c r="AK722" s="357"/>
      <c r="AL722" s="357"/>
      <c r="AM722" s="357"/>
      <c r="AN722" s="357"/>
      <c r="AO722" s="357"/>
      <c r="AP722" s="357"/>
      <c r="AQ722" s="357"/>
      <c r="AR722" s="357"/>
      <c r="AS722" s="357"/>
      <c r="AT722" s="357"/>
      <c r="AU722" s="357"/>
      <c r="AV722" s="357"/>
      <c r="AW722" s="357"/>
      <c r="AX722" s="357"/>
      <c r="AY722" s="357"/>
      <c r="AZ722" s="357"/>
      <c r="BA722" s="357"/>
      <c r="BB722" s="357"/>
      <c r="BC722" s="357"/>
      <c r="BD722" s="357"/>
    </row>
    <row r="723" spans="7:56">
      <c r="G723" s="357"/>
      <c r="H723" s="357"/>
      <c r="I723" s="357"/>
      <c r="J723" s="357"/>
      <c r="K723" s="357"/>
      <c r="L723" s="357"/>
      <c r="M723" s="357"/>
      <c r="N723" s="357"/>
      <c r="O723" s="357"/>
      <c r="P723" s="357"/>
      <c r="Q723" s="357"/>
      <c r="R723" s="357"/>
      <c r="S723" s="357"/>
      <c r="T723" s="357"/>
      <c r="U723" s="357"/>
      <c r="V723" s="357"/>
      <c r="W723" s="357"/>
      <c r="X723" s="357"/>
      <c r="Y723" s="357"/>
      <c r="Z723" s="357"/>
      <c r="AA723" s="357"/>
      <c r="AB723" s="357"/>
      <c r="AC723" s="357"/>
      <c r="AD723" s="357"/>
      <c r="AE723" s="357"/>
      <c r="AF723" s="357"/>
      <c r="AG723" s="357"/>
      <c r="AH723" s="357"/>
      <c r="AI723" s="357"/>
      <c r="AJ723" s="357"/>
      <c r="AK723" s="357"/>
      <c r="AL723" s="357"/>
      <c r="AM723" s="357"/>
      <c r="AN723" s="357"/>
      <c r="AO723" s="357"/>
      <c r="AP723" s="357"/>
      <c r="AQ723" s="357"/>
      <c r="AR723" s="357"/>
      <c r="AS723" s="357"/>
      <c r="AT723" s="357"/>
      <c r="AU723" s="357"/>
      <c r="AV723" s="357"/>
      <c r="AW723" s="357"/>
      <c r="AX723" s="357"/>
      <c r="AY723" s="357"/>
      <c r="AZ723" s="357"/>
      <c r="BA723" s="357"/>
      <c r="BB723" s="357"/>
      <c r="BC723" s="357"/>
      <c r="BD723" s="357"/>
    </row>
    <row r="724" spans="7:56">
      <c r="G724" s="357"/>
      <c r="H724" s="357"/>
      <c r="I724" s="357"/>
      <c r="J724" s="357"/>
      <c r="K724" s="357"/>
      <c r="L724" s="357"/>
      <c r="M724" s="357"/>
      <c r="N724" s="357"/>
      <c r="O724" s="357"/>
      <c r="P724" s="357"/>
      <c r="Q724" s="357"/>
      <c r="R724" s="357"/>
      <c r="S724" s="357"/>
      <c r="T724" s="357"/>
      <c r="U724" s="357"/>
      <c r="V724" s="357"/>
      <c r="W724" s="357"/>
      <c r="X724" s="357"/>
      <c r="Y724" s="357"/>
      <c r="Z724" s="357"/>
      <c r="AA724" s="357"/>
      <c r="AB724" s="357"/>
      <c r="AC724" s="357"/>
      <c r="AD724" s="357"/>
      <c r="AE724" s="357"/>
      <c r="AF724" s="357"/>
      <c r="AG724" s="357"/>
      <c r="AH724" s="357"/>
      <c r="AI724" s="357"/>
      <c r="AJ724" s="357"/>
      <c r="AK724" s="357"/>
      <c r="AL724" s="357"/>
      <c r="AM724" s="357"/>
      <c r="AN724" s="357"/>
      <c r="AO724" s="357"/>
      <c r="AP724" s="357"/>
      <c r="AQ724" s="357"/>
      <c r="AR724" s="357"/>
      <c r="AS724" s="357"/>
      <c r="AT724" s="357"/>
      <c r="AU724" s="357"/>
      <c r="AV724" s="357"/>
      <c r="AW724" s="357"/>
      <c r="AX724" s="357"/>
      <c r="AY724" s="357"/>
      <c r="AZ724" s="357"/>
      <c r="BA724" s="357"/>
      <c r="BB724" s="357"/>
      <c r="BC724" s="357"/>
      <c r="BD724" s="357"/>
    </row>
    <row r="725" spans="7:56">
      <c r="G725" s="357"/>
      <c r="H725" s="357"/>
      <c r="I725" s="357"/>
      <c r="J725" s="357"/>
      <c r="K725" s="357"/>
      <c r="L725" s="357"/>
      <c r="M725" s="357"/>
      <c r="N725" s="357"/>
      <c r="O725" s="357"/>
      <c r="P725" s="357"/>
      <c r="Q725" s="357"/>
      <c r="R725" s="357"/>
      <c r="S725" s="357"/>
      <c r="T725" s="357"/>
      <c r="U725" s="357"/>
      <c r="V725" s="357"/>
      <c r="W725" s="357"/>
      <c r="X725" s="357"/>
      <c r="Y725" s="357"/>
      <c r="Z725" s="357"/>
      <c r="AA725" s="357"/>
      <c r="AB725" s="357"/>
      <c r="AC725" s="357"/>
      <c r="AD725" s="357"/>
      <c r="AE725" s="357"/>
      <c r="AF725" s="357"/>
      <c r="AG725" s="357"/>
      <c r="AH725" s="357"/>
      <c r="AI725" s="357"/>
      <c r="AJ725" s="357"/>
      <c r="AK725" s="357"/>
      <c r="AL725" s="357"/>
      <c r="AM725" s="357"/>
      <c r="AN725" s="357"/>
      <c r="AO725" s="357"/>
      <c r="AP725" s="357"/>
      <c r="AQ725" s="357"/>
      <c r="AR725" s="357"/>
      <c r="AS725" s="357"/>
      <c r="AT725" s="357"/>
      <c r="AU725" s="357"/>
      <c r="AV725" s="357"/>
      <c r="AW725" s="357"/>
      <c r="AX725" s="357"/>
      <c r="AY725" s="357"/>
      <c r="AZ725" s="357"/>
      <c r="BA725" s="357"/>
      <c r="BB725" s="357"/>
      <c r="BC725" s="357"/>
      <c r="BD725" s="357"/>
    </row>
    <row r="726" spans="7:56">
      <c r="G726" s="357"/>
      <c r="H726" s="357"/>
      <c r="I726" s="357"/>
      <c r="J726" s="357"/>
      <c r="K726" s="357"/>
      <c r="L726" s="357"/>
      <c r="M726" s="357"/>
      <c r="N726" s="357"/>
      <c r="O726" s="357"/>
      <c r="P726" s="357"/>
      <c r="Q726" s="357"/>
      <c r="R726" s="357"/>
      <c r="S726" s="357"/>
      <c r="T726" s="357"/>
      <c r="U726" s="357"/>
      <c r="V726" s="357"/>
      <c r="W726" s="357"/>
      <c r="X726" s="357"/>
      <c r="Y726" s="357"/>
      <c r="Z726" s="357"/>
      <c r="AA726" s="357"/>
      <c r="AB726" s="357"/>
      <c r="AC726" s="357"/>
      <c r="AD726" s="357"/>
      <c r="AE726" s="357"/>
      <c r="AF726" s="357"/>
      <c r="AG726" s="357"/>
      <c r="AH726" s="357"/>
      <c r="AI726" s="357"/>
      <c r="AJ726" s="357"/>
      <c r="AK726" s="357"/>
      <c r="AL726" s="357"/>
      <c r="AM726" s="357"/>
      <c r="AN726" s="357"/>
      <c r="AO726" s="357"/>
      <c r="AP726" s="357"/>
      <c r="AQ726" s="357"/>
      <c r="AR726" s="357"/>
      <c r="AS726" s="357"/>
      <c r="AT726" s="357"/>
      <c r="AU726" s="357"/>
      <c r="AV726" s="357"/>
      <c r="AW726" s="357"/>
      <c r="AX726" s="357"/>
      <c r="AY726" s="357"/>
      <c r="AZ726" s="357"/>
      <c r="BA726" s="357"/>
      <c r="BB726" s="357"/>
      <c r="BC726" s="357"/>
      <c r="BD726" s="357"/>
    </row>
    <row r="727" spans="7:56">
      <c r="G727" s="357"/>
      <c r="H727" s="357"/>
      <c r="I727" s="357"/>
      <c r="J727" s="357"/>
      <c r="K727" s="357"/>
      <c r="L727" s="357"/>
      <c r="M727" s="357"/>
      <c r="N727" s="357"/>
      <c r="O727" s="357"/>
      <c r="P727" s="357"/>
      <c r="Q727" s="357"/>
      <c r="R727" s="357"/>
      <c r="S727" s="357"/>
      <c r="T727" s="357"/>
      <c r="U727" s="357"/>
      <c r="V727" s="357"/>
      <c r="W727" s="357"/>
      <c r="X727" s="357"/>
      <c r="Y727" s="357"/>
      <c r="Z727" s="357"/>
      <c r="AA727" s="357"/>
      <c r="AB727" s="357"/>
      <c r="AC727" s="357"/>
      <c r="AD727" s="357"/>
      <c r="AE727" s="357"/>
      <c r="AF727" s="357"/>
      <c r="AG727" s="357"/>
      <c r="AH727" s="357"/>
      <c r="AI727" s="357"/>
      <c r="AJ727" s="357"/>
      <c r="AK727" s="357"/>
      <c r="AL727" s="357"/>
      <c r="AM727" s="357"/>
      <c r="AN727" s="357"/>
      <c r="AO727" s="357"/>
      <c r="AP727" s="357"/>
      <c r="AQ727" s="357"/>
      <c r="AR727" s="357"/>
      <c r="AS727" s="357"/>
      <c r="AT727" s="357"/>
      <c r="AU727" s="357"/>
      <c r="AV727" s="357"/>
      <c r="AW727" s="357"/>
      <c r="AX727" s="357"/>
      <c r="AY727" s="357"/>
      <c r="AZ727" s="357"/>
      <c r="BA727" s="357"/>
      <c r="BB727" s="357"/>
      <c r="BC727" s="357"/>
      <c r="BD727" s="357"/>
    </row>
    <row r="728" spans="7:56">
      <c r="G728" s="357"/>
      <c r="H728" s="357"/>
      <c r="I728" s="357"/>
      <c r="J728" s="357"/>
      <c r="K728" s="357"/>
      <c r="L728" s="357"/>
      <c r="M728" s="357"/>
      <c r="N728" s="357"/>
      <c r="O728" s="357"/>
      <c r="P728" s="357"/>
      <c r="Q728" s="357"/>
      <c r="R728" s="357"/>
      <c r="S728" s="357"/>
      <c r="T728" s="357"/>
      <c r="U728" s="357"/>
      <c r="V728" s="357"/>
      <c r="W728" s="357"/>
      <c r="X728" s="357"/>
      <c r="Y728" s="357"/>
      <c r="Z728" s="357"/>
      <c r="AA728" s="357"/>
      <c r="AB728" s="357"/>
      <c r="AC728" s="357"/>
      <c r="AD728" s="357"/>
      <c r="AE728" s="357"/>
      <c r="AF728" s="357"/>
      <c r="AG728" s="357"/>
      <c r="AH728" s="357"/>
      <c r="AI728" s="357"/>
      <c r="AJ728" s="357"/>
      <c r="AK728" s="357"/>
      <c r="AL728" s="357"/>
      <c r="AM728" s="357"/>
      <c r="AN728" s="357"/>
      <c r="AO728" s="357"/>
      <c r="AP728" s="357"/>
      <c r="AQ728" s="357"/>
      <c r="AR728" s="357"/>
      <c r="AS728" s="357"/>
      <c r="AT728" s="357"/>
      <c r="AU728" s="357"/>
      <c r="AV728" s="357"/>
      <c r="AW728" s="357"/>
      <c r="AX728" s="357"/>
      <c r="AY728" s="357"/>
      <c r="AZ728" s="357"/>
      <c r="BA728" s="357"/>
      <c r="BB728" s="357"/>
      <c r="BC728" s="357"/>
      <c r="BD728" s="357"/>
    </row>
    <row r="729" spans="7:56">
      <c r="G729" s="357"/>
      <c r="H729" s="357"/>
      <c r="I729" s="357"/>
      <c r="J729" s="357"/>
      <c r="K729" s="357"/>
      <c r="L729" s="357"/>
      <c r="M729" s="357"/>
      <c r="N729" s="357"/>
      <c r="O729" s="357"/>
      <c r="P729" s="357"/>
      <c r="Q729" s="357"/>
      <c r="R729" s="357"/>
      <c r="S729" s="357"/>
      <c r="T729" s="357"/>
      <c r="U729" s="357"/>
      <c r="V729" s="357"/>
      <c r="W729" s="357"/>
      <c r="X729" s="357"/>
      <c r="Y729" s="357"/>
      <c r="Z729" s="357"/>
      <c r="AA729" s="357"/>
      <c r="AB729" s="357"/>
      <c r="AC729" s="357"/>
      <c r="AD729" s="357"/>
      <c r="AE729" s="357"/>
      <c r="AF729" s="357"/>
      <c r="AG729" s="357"/>
      <c r="AH729" s="357"/>
      <c r="AI729" s="357"/>
      <c r="AJ729" s="357"/>
      <c r="AK729" s="357"/>
      <c r="AL729" s="357"/>
      <c r="AM729" s="357"/>
      <c r="AN729" s="357"/>
      <c r="AO729" s="357"/>
      <c r="AP729" s="357"/>
      <c r="AQ729" s="357"/>
      <c r="AR729" s="357"/>
      <c r="AS729" s="357"/>
      <c r="AT729" s="357"/>
      <c r="AU729" s="357"/>
      <c r="AV729" s="357"/>
      <c r="AW729" s="357"/>
      <c r="AX729" s="357"/>
      <c r="AY729" s="357"/>
      <c r="AZ729" s="357"/>
      <c r="BA729" s="357"/>
      <c r="BB729" s="357"/>
      <c r="BC729" s="357"/>
      <c r="BD729" s="357"/>
    </row>
    <row r="730" spans="7:56">
      <c r="G730" s="357"/>
      <c r="H730" s="357"/>
      <c r="I730" s="357"/>
      <c r="J730" s="357"/>
      <c r="K730" s="357"/>
      <c r="L730" s="357"/>
      <c r="M730" s="357"/>
      <c r="N730" s="357"/>
      <c r="O730" s="357"/>
      <c r="P730" s="357"/>
      <c r="Q730" s="357"/>
      <c r="R730" s="357"/>
      <c r="S730" s="357"/>
      <c r="T730" s="357"/>
      <c r="U730" s="357"/>
      <c r="V730" s="357"/>
      <c r="W730" s="357"/>
      <c r="X730" s="357"/>
      <c r="Y730" s="357"/>
      <c r="Z730" s="357"/>
      <c r="AA730" s="357"/>
      <c r="AB730" s="357"/>
      <c r="AC730" s="357"/>
      <c r="AD730" s="357"/>
      <c r="AE730" s="357"/>
      <c r="AF730" s="357"/>
      <c r="AG730" s="357"/>
      <c r="AH730" s="357"/>
      <c r="AI730" s="357"/>
      <c r="AJ730" s="357"/>
      <c r="AK730" s="357"/>
      <c r="AL730" s="357"/>
      <c r="AM730" s="357"/>
      <c r="AN730" s="357"/>
      <c r="AO730" s="357"/>
      <c r="AP730" s="357"/>
      <c r="AQ730" s="357"/>
      <c r="AR730" s="357"/>
      <c r="AS730" s="357"/>
      <c r="AT730" s="357"/>
      <c r="AU730" s="357"/>
      <c r="AV730" s="357"/>
      <c r="AW730" s="357"/>
      <c r="AX730" s="357"/>
      <c r="AY730" s="357"/>
      <c r="AZ730" s="357"/>
      <c r="BA730" s="357"/>
      <c r="BB730" s="357"/>
      <c r="BC730" s="357"/>
      <c r="BD730" s="357"/>
    </row>
    <row r="731" spans="7:56">
      <c r="G731" s="357"/>
      <c r="H731" s="357"/>
      <c r="I731" s="357"/>
      <c r="J731" s="357"/>
      <c r="K731" s="357"/>
      <c r="L731" s="357"/>
      <c r="M731" s="357"/>
      <c r="N731" s="357"/>
      <c r="O731" s="357"/>
      <c r="P731" s="357"/>
      <c r="Q731" s="357"/>
      <c r="R731" s="357"/>
      <c r="S731" s="357"/>
      <c r="T731" s="357"/>
      <c r="U731" s="357"/>
      <c r="V731" s="357"/>
      <c r="W731" s="357"/>
      <c r="X731" s="357"/>
      <c r="Y731" s="357"/>
      <c r="Z731" s="357"/>
      <c r="AA731" s="357"/>
      <c r="AB731" s="357"/>
      <c r="AC731" s="357"/>
      <c r="AD731" s="357"/>
      <c r="AE731" s="357"/>
      <c r="AF731" s="357"/>
      <c r="AG731" s="357"/>
      <c r="AH731" s="357"/>
      <c r="AI731" s="357"/>
      <c r="AJ731" s="357"/>
      <c r="AK731" s="357"/>
      <c r="AL731" s="357"/>
      <c r="AM731" s="357"/>
      <c r="AN731" s="357"/>
      <c r="AO731" s="357"/>
      <c r="AP731" s="357"/>
      <c r="AQ731" s="357"/>
      <c r="AR731" s="357"/>
      <c r="AS731" s="357"/>
      <c r="AT731" s="357"/>
      <c r="AU731" s="357"/>
      <c r="AV731" s="357"/>
      <c r="AW731" s="357"/>
      <c r="AX731" s="357"/>
      <c r="AY731" s="357"/>
      <c r="AZ731" s="357"/>
      <c r="BA731" s="357"/>
      <c r="BB731" s="357"/>
      <c r="BC731" s="357"/>
      <c r="BD731" s="357"/>
    </row>
    <row r="732" spans="7:56">
      <c r="G732" s="357"/>
      <c r="H732" s="357"/>
      <c r="I732" s="357"/>
      <c r="J732" s="357"/>
      <c r="K732" s="357"/>
      <c r="L732" s="357"/>
      <c r="M732" s="357"/>
      <c r="N732" s="357"/>
      <c r="O732" s="357"/>
      <c r="P732" s="357"/>
      <c r="Q732" s="357"/>
      <c r="R732" s="357"/>
      <c r="S732" s="357"/>
      <c r="T732" s="357"/>
      <c r="U732" s="357"/>
      <c r="V732" s="357"/>
      <c r="W732" s="357"/>
      <c r="X732" s="357"/>
      <c r="Y732" s="357"/>
      <c r="Z732" s="357"/>
      <c r="AA732" s="357"/>
      <c r="AB732" s="357"/>
      <c r="AC732" s="357"/>
      <c r="AD732" s="357"/>
      <c r="AE732" s="357"/>
      <c r="AF732" s="357"/>
      <c r="AG732" s="357"/>
      <c r="AH732" s="357"/>
      <c r="AI732" s="357"/>
      <c r="AJ732" s="357"/>
      <c r="AK732" s="357"/>
      <c r="AL732" s="357"/>
      <c r="AM732" s="357"/>
      <c r="AN732" s="357"/>
      <c r="AO732" s="357"/>
      <c r="AP732" s="357"/>
      <c r="AQ732" s="357"/>
      <c r="AR732" s="357"/>
      <c r="AS732" s="357"/>
      <c r="AT732" s="357"/>
      <c r="AU732" s="357"/>
      <c r="AV732" s="357"/>
      <c r="AW732" s="357"/>
      <c r="AX732" s="357"/>
      <c r="AY732" s="357"/>
      <c r="AZ732" s="357"/>
      <c r="BA732" s="357"/>
      <c r="BB732" s="357"/>
      <c r="BC732" s="357"/>
      <c r="BD732" s="357"/>
    </row>
    <row r="733" spans="7:56">
      <c r="G733" s="357"/>
      <c r="H733" s="357"/>
      <c r="I733" s="357"/>
      <c r="J733" s="357"/>
      <c r="K733" s="357"/>
      <c r="L733" s="357"/>
      <c r="M733" s="357"/>
      <c r="N733" s="357"/>
      <c r="O733" s="357"/>
      <c r="P733" s="357"/>
      <c r="Q733" s="357"/>
      <c r="R733" s="357"/>
      <c r="S733" s="357"/>
      <c r="T733" s="357"/>
      <c r="U733" s="357"/>
      <c r="V733" s="357"/>
      <c r="W733" s="357"/>
      <c r="X733" s="357"/>
      <c r="Y733" s="357"/>
      <c r="Z733" s="357"/>
      <c r="AA733" s="357"/>
      <c r="AB733" s="357"/>
      <c r="AC733" s="357"/>
      <c r="AD733" s="357"/>
      <c r="AE733" s="357"/>
      <c r="AF733" s="357"/>
      <c r="AG733" s="357"/>
      <c r="AH733" s="357"/>
      <c r="AI733" s="357"/>
      <c r="AJ733" s="357"/>
      <c r="AK733" s="357"/>
      <c r="AL733" s="357"/>
      <c r="AM733" s="357"/>
      <c r="AN733" s="357"/>
      <c r="AO733" s="357"/>
      <c r="AP733" s="357"/>
      <c r="AQ733" s="357"/>
      <c r="AR733" s="357"/>
      <c r="AS733" s="357"/>
      <c r="AT733" s="357"/>
      <c r="AU733" s="357"/>
      <c r="AV733" s="357"/>
      <c r="AW733" s="357"/>
      <c r="AX733" s="357"/>
      <c r="AY733" s="357"/>
      <c r="AZ733" s="357"/>
      <c r="BA733" s="357"/>
      <c r="BB733" s="357"/>
      <c r="BC733" s="357"/>
      <c r="BD733" s="357"/>
    </row>
    <row r="734" spans="7:56">
      <c r="G734" s="357"/>
      <c r="H734" s="357"/>
      <c r="I734" s="357"/>
      <c r="J734" s="357"/>
      <c r="K734" s="357"/>
      <c r="L734" s="357"/>
      <c r="M734" s="357"/>
      <c r="N734" s="357"/>
      <c r="O734" s="357"/>
      <c r="P734" s="357"/>
      <c r="Q734" s="357"/>
      <c r="R734" s="357"/>
      <c r="S734" s="357"/>
      <c r="T734" s="357"/>
      <c r="U734" s="357"/>
      <c r="V734" s="357"/>
      <c r="W734" s="357"/>
      <c r="X734" s="357"/>
      <c r="Y734" s="357"/>
      <c r="Z734" s="357"/>
      <c r="AA734" s="357"/>
      <c r="AB734" s="357"/>
      <c r="AC734" s="357"/>
      <c r="AD734" s="357"/>
      <c r="AE734" s="357"/>
      <c r="AF734" s="357"/>
      <c r="AG734" s="357"/>
      <c r="AH734" s="357"/>
      <c r="AI734" s="357"/>
      <c r="AJ734" s="357"/>
      <c r="AK734" s="357"/>
      <c r="AL734" s="357"/>
      <c r="AM734" s="357"/>
      <c r="AN734" s="357"/>
      <c r="AO734" s="357"/>
      <c r="AP734" s="357"/>
      <c r="AQ734" s="357"/>
      <c r="AR734" s="357"/>
      <c r="AS734" s="357"/>
      <c r="AT734" s="357"/>
      <c r="AU734" s="357"/>
      <c r="AV734" s="357"/>
      <c r="AW734" s="357"/>
      <c r="AX734" s="357"/>
      <c r="AY734" s="357"/>
      <c r="AZ734" s="357"/>
      <c r="BA734" s="357"/>
      <c r="BB734" s="357"/>
      <c r="BC734" s="357"/>
      <c r="BD734" s="357"/>
    </row>
    <row r="735" spans="7:56">
      <c r="G735" s="357"/>
      <c r="H735" s="357"/>
      <c r="I735" s="357"/>
      <c r="J735" s="357"/>
      <c r="K735" s="357"/>
      <c r="L735" s="357"/>
      <c r="M735" s="357"/>
      <c r="N735" s="357"/>
      <c r="O735" s="357"/>
      <c r="P735" s="357"/>
      <c r="Q735" s="357"/>
      <c r="R735" s="357"/>
      <c r="S735" s="357"/>
      <c r="T735" s="357"/>
      <c r="U735" s="357"/>
      <c r="V735" s="357"/>
      <c r="W735" s="357"/>
      <c r="X735" s="357"/>
      <c r="Y735" s="357"/>
      <c r="Z735" s="357"/>
      <c r="AA735" s="357"/>
      <c r="AB735" s="357"/>
      <c r="AC735" s="357"/>
      <c r="AD735" s="357"/>
      <c r="AE735" s="357"/>
      <c r="AF735" s="357"/>
      <c r="AG735" s="357"/>
      <c r="AH735" s="357"/>
      <c r="AI735" s="357"/>
      <c r="AJ735" s="357"/>
      <c r="AK735" s="357"/>
      <c r="AL735" s="357"/>
      <c r="AM735" s="357"/>
      <c r="AN735" s="357"/>
      <c r="AO735" s="357"/>
      <c r="AP735" s="357"/>
      <c r="AQ735" s="357"/>
      <c r="AR735" s="357"/>
      <c r="AS735" s="357"/>
      <c r="AT735" s="357"/>
      <c r="AU735" s="357"/>
      <c r="AV735" s="357"/>
      <c r="AW735" s="357"/>
      <c r="AX735" s="357"/>
      <c r="AY735" s="357"/>
      <c r="AZ735" s="357"/>
      <c r="BA735" s="357"/>
      <c r="BB735" s="357"/>
      <c r="BC735" s="357"/>
      <c r="BD735" s="357"/>
    </row>
    <row r="736" spans="7:56">
      <c r="G736" s="357"/>
      <c r="H736" s="357"/>
      <c r="I736" s="357"/>
      <c r="J736" s="357"/>
      <c r="K736" s="357"/>
      <c r="L736" s="357"/>
      <c r="M736" s="357"/>
      <c r="N736" s="357"/>
      <c r="O736" s="357"/>
      <c r="P736" s="357"/>
      <c r="Q736" s="357"/>
      <c r="R736" s="357"/>
      <c r="S736" s="357"/>
      <c r="T736" s="357"/>
      <c r="U736" s="357"/>
      <c r="V736" s="357"/>
      <c r="W736" s="357"/>
      <c r="X736" s="357"/>
      <c r="Y736" s="357"/>
      <c r="Z736" s="357"/>
      <c r="AA736" s="357"/>
      <c r="AB736" s="357"/>
      <c r="AC736" s="357"/>
      <c r="AD736" s="357"/>
      <c r="AE736" s="357"/>
      <c r="AF736" s="357"/>
      <c r="AG736" s="357"/>
      <c r="AH736" s="357"/>
      <c r="AI736" s="357"/>
      <c r="AJ736" s="357"/>
      <c r="AK736" s="357"/>
      <c r="AL736" s="357"/>
      <c r="AM736" s="357"/>
      <c r="AN736" s="357"/>
      <c r="AO736" s="357"/>
      <c r="AP736" s="357"/>
      <c r="AQ736" s="357"/>
      <c r="AR736" s="357"/>
      <c r="AS736" s="357"/>
      <c r="AT736" s="357"/>
      <c r="AU736" s="357"/>
      <c r="AV736" s="357"/>
      <c r="AW736" s="357"/>
      <c r="AX736" s="357"/>
      <c r="AY736" s="357"/>
      <c r="AZ736" s="357"/>
      <c r="BA736" s="357"/>
      <c r="BB736" s="357"/>
      <c r="BC736" s="357"/>
      <c r="BD736" s="357"/>
    </row>
    <row r="737" spans="7:56">
      <c r="G737" s="357"/>
      <c r="H737" s="357"/>
      <c r="I737" s="357"/>
      <c r="J737" s="357"/>
      <c r="K737" s="357"/>
      <c r="L737" s="357"/>
      <c r="M737" s="357"/>
      <c r="N737" s="357"/>
      <c r="O737" s="357"/>
      <c r="P737" s="357"/>
      <c r="Q737" s="357"/>
      <c r="R737" s="357"/>
      <c r="S737" s="357"/>
      <c r="T737" s="357"/>
      <c r="U737" s="357"/>
      <c r="V737" s="357"/>
      <c r="W737" s="357"/>
      <c r="X737" s="357"/>
      <c r="Y737" s="357"/>
      <c r="Z737" s="357"/>
      <c r="AA737" s="357"/>
      <c r="AB737" s="357"/>
      <c r="AC737" s="357"/>
      <c r="AD737" s="357"/>
      <c r="AE737" s="357"/>
      <c r="AF737" s="357"/>
      <c r="AG737" s="357"/>
      <c r="AH737" s="357"/>
      <c r="AI737" s="357"/>
      <c r="AJ737" s="357"/>
      <c r="AK737" s="357"/>
      <c r="AL737" s="357"/>
      <c r="AM737" s="357"/>
      <c r="AN737" s="357"/>
      <c r="AO737" s="357"/>
      <c r="AP737" s="357"/>
      <c r="AQ737" s="357"/>
      <c r="AR737" s="357"/>
      <c r="AS737" s="357"/>
      <c r="AT737" s="357"/>
      <c r="AU737" s="357"/>
      <c r="AV737" s="357"/>
      <c r="AW737" s="357"/>
      <c r="AX737" s="357"/>
      <c r="AY737" s="357"/>
      <c r="AZ737" s="357"/>
      <c r="BA737" s="357"/>
      <c r="BB737" s="357"/>
      <c r="BC737" s="357"/>
      <c r="BD737" s="357"/>
    </row>
    <row r="738" spans="7:56">
      <c r="G738" s="357"/>
      <c r="H738" s="357"/>
      <c r="I738" s="357"/>
      <c r="J738" s="357"/>
      <c r="K738" s="357"/>
      <c r="L738" s="357"/>
      <c r="M738" s="357"/>
      <c r="N738" s="357"/>
      <c r="O738" s="357"/>
      <c r="P738" s="357"/>
      <c r="Q738" s="357"/>
      <c r="R738" s="357"/>
      <c r="S738" s="357"/>
      <c r="T738" s="357"/>
      <c r="U738" s="357"/>
      <c r="V738" s="357"/>
      <c r="W738" s="357"/>
      <c r="X738" s="357"/>
      <c r="Y738" s="357"/>
      <c r="Z738" s="357"/>
      <c r="AA738" s="357"/>
      <c r="AB738" s="357"/>
      <c r="AC738" s="357"/>
      <c r="AD738" s="357"/>
      <c r="AE738" s="357"/>
      <c r="AF738" s="357"/>
      <c r="AG738" s="357"/>
      <c r="AH738" s="357"/>
      <c r="AI738" s="357"/>
      <c r="AJ738" s="357"/>
      <c r="AK738" s="357"/>
      <c r="AL738" s="357"/>
      <c r="AM738" s="357"/>
      <c r="AN738" s="357"/>
      <c r="AO738" s="357"/>
      <c r="AP738" s="357"/>
      <c r="AQ738" s="357"/>
      <c r="AR738" s="357"/>
      <c r="AS738" s="357"/>
      <c r="AT738" s="357"/>
      <c r="AU738" s="357"/>
      <c r="AV738" s="357"/>
      <c r="AW738" s="357"/>
      <c r="AX738" s="357"/>
      <c r="AY738" s="357"/>
      <c r="AZ738" s="357"/>
      <c r="BA738" s="357"/>
      <c r="BB738" s="357"/>
      <c r="BC738" s="357"/>
      <c r="BD738" s="357"/>
    </row>
    <row r="739" spans="7:56">
      <c r="G739" s="357"/>
      <c r="H739" s="357"/>
      <c r="I739" s="357"/>
      <c r="J739" s="357"/>
      <c r="K739" s="357"/>
      <c r="L739" s="357"/>
      <c r="M739" s="357"/>
      <c r="N739" s="357"/>
      <c r="O739" s="357"/>
      <c r="P739" s="357"/>
      <c r="Q739" s="357"/>
      <c r="R739" s="357"/>
      <c r="S739" s="357"/>
      <c r="T739" s="357"/>
      <c r="U739" s="357"/>
      <c r="V739" s="357"/>
      <c r="W739" s="357"/>
      <c r="X739" s="357"/>
      <c r="Y739" s="357"/>
      <c r="Z739" s="357"/>
      <c r="AA739" s="357"/>
      <c r="AB739" s="357"/>
      <c r="AC739" s="357"/>
      <c r="AD739" s="357"/>
      <c r="AE739" s="357"/>
      <c r="AF739" s="357"/>
      <c r="AG739" s="357"/>
      <c r="AH739" s="357"/>
      <c r="AI739" s="357"/>
      <c r="AJ739" s="357"/>
      <c r="AK739" s="357"/>
      <c r="AL739" s="357"/>
      <c r="AM739" s="357"/>
      <c r="AN739" s="357"/>
      <c r="AO739" s="357"/>
      <c r="AP739" s="357"/>
      <c r="AQ739" s="357"/>
      <c r="AR739" s="357"/>
      <c r="AS739" s="357"/>
      <c r="AT739" s="357"/>
      <c r="AU739" s="357"/>
      <c r="AV739" s="357"/>
      <c r="AW739" s="357"/>
      <c r="AX739" s="357"/>
      <c r="AY739" s="357"/>
      <c r="AZ739" s="357"/>
      <c r="BA739" s="357"/>
      <c r="BB739" s="357"/>
      <c r="BC739" s="357"/>
      <c r="BD739" s="357"/>
    </row>
    <row r="740" spans="7:56">
      <c r="G740" s="357"/>
      <c r="H740" s="357"/>
      <c r="I740" s="357"/>
      <c r="J740" s="357"/>
      <c r="K740" s="357"/>
      <c r="L740" s="357"/>
      <c r="M740" s="357"/>
      <c r="N740" s="357"/>
      <c r="O740" s="357"/>
      <c r="P740" s="357"/>
      <c r="Q740" s="357"/>
      <c r="R740" s="357"/>
      <c r="S740" s="357"/>
      <c r="T740" s="357"/>
      <c r="U740" s="357"/>
      <c r="V740" s="357"/>
      <c r="W740" s="357"/>
      <c r="X740" s="357"/>
      <c r="Y740" s="357"/>
      <c r="Z740" s="357"/>
      <c r="AA740" s="357"/>
      <c r="AB740" s="357"/>
      <c r="AC740" s="357"/>
      <c r="AD740" s="357"/>
      <c r="AE740" s="357"/>
      <c r="AF740" s="357"/>
      <c r="AG740" s="357"/>
      <c r="AH740" s="357"/>
      <c r="AI740" s="357"/>
      <c r="AJ740" s="357"/>
      <c r="AK740" s="357"/>
      <c r="AL740" s="357"/>
      <c r="AM740" s="357"/>
      <c r="AN740" s="357"/>
      <c r="AO740" s="357"/>
      <c r="AP740" s="357"/>
      <c r="AQ740" s="357"/>
      <c r="AR740" s="357"/>
      <c r="AS740" s="357"/>
      <c r="AT740" s="357"/>
      <c r="AU740" s="357"/>
      <c r="AV740" s="357"/>
      <c r="AW740" s="357"/>
      <c r="AX740" s="357"/>
      <c r="AY740" s="357"/>
      <c r="AZ740" s="357"/>
      <c r="BA740" s="357"/>
      <c r="BB740" s="357"/>
      <c r="BC740" s="357"/>
      <c r="BD740" s="357"/>
    </row>
    <row r="741" spans="7:56">
      <c r="G741" s="357"/>
      <c r="H741" s="357"/>
      <c r="I741" s="357"/>
      <c r="J741" s="357"/>
      <c r="K741" s="357"/>
      <c r="L741" s="357"/>
      <c r="M741" s="357"/>
      <c r="N741" s="357"/>
      <c r="O741" s="357"/>
      <c r="P741" s="357"/>
      <c r="Q741" s="357"/>
      <c r="R741" s="357"/>
      <c r="S741" s="357"/>
      <c r="T741" s="357"/>
      <c r="U741" s="357"/>
      <c r="V741" s="357"/>
      <c r="W741" s="357"/>
      <c r="X741" s="357"/>
      <c r="Y741" s="357"/>
      <c r="Z741" s="357"/>
      <c r="AA741" s="357"/>
      <c r="AB741" s="357"/>
      <c r="AC741" s="357"/>
      <c r="AD741" s="357"/>
      <c r="AE741" s="357"/>
      <c r="AF741" s="357"/>
      <c r="AG741" s="357"/>
      <c r="AH741" s="357"/>
      <c r="AI741" s="357"/>
      <c r="AJ741" s="357"/>
      <c r="AK741" s="357"/>
      <c r="AL741" s="357"/>
      <c r="AM741" s="357"/>
      <c r="AN741" s="357"/>
      <c r="AO741" s="357"/>
      <c r="AP741" s="357"/>
      <c r="AQ741" s="357"/>
      <c r="AR741" s="357"/>
      <c r="AS741" s="357"/>
      <c r="AT741" s="357"/>
      <c r="AU741" s="357"/>
      <c r="AV741" s="357"/>
      <c r="AW741" s="357"/>
      <c r="AX741" s="357"/>
      <c r="AY741" s="357"/>
      <c r="AZ741" s="357"/>
      <c r="BA741" s="357"/>
      <c r="BB741" s="357"/>
      <c r="BC741" s="357"/>
      <c r="BD741" s="357"/>
    </row>
    <row r="742" spans="7:56">
      <c r="G742" s="357"/>
      <c r="H742" s="357"/>
      <c r="I742" s="357"/>
      <c r="J742" s="357"/>
      <c r="K742" s="357"/>
      <c r="L742" s="357"/>
      <c r="M742" s="357"/>
      <c r="N742" s="357"/>
      <c r="O742" s="357"/>
      <c r="P742" s="357"/>
      <c r="Q742" s="357"/>
      <c r="R742" s="357"/>
      <c r="S742" s="357"/>
      <c r="T742" s="357"/>
      <c r="U742" s="357"/>
      <c r="V742" s="357"/>
      <c r="W742" s="357"/>
      <c r="X742" s="357"/>
      <c r="Y742" s="357"/>
      <c r="Z742" s="357"/>
      <c r="AA742" s="357"/>
      <c r="AB742" s="357"/>
      <c r="AC742" s="357"/>
      <c r="AD742" s="357"/>
      <c r="AE742" s="357"/>
      <c r="AF742" s="357"/>
      <c r="AG742" s="357"/>
      <c r="AH742" s="357"/>
      <c r="AI742" s="357"/>
      <c r="AJ742" s="357"/>
      <c r="AK742" s="357"/>
      <c r="AL742" s="357"/>
      <c r="AM742" s="357"/>
      <c r="AN742" s="357"/>
      <c r="AO742" s="357"/>
      <c r="AP742" s="357"/>
      <c r="AQ742" s="357"/>
      <c r="AR742" s="357"/>
      <c r="AS742" s="357"/>
      <c r="AT742" s="357"/>
      <c r="AU742" s="357"/>
      <c r="AV742" s="357"/>
      <c r="AW742" s="357"/>
      <c r="AX742" s="357"/>
      <c r="AY742" s="357"/>
      <c r="AZ742" s="357"/>
      <c r="BA742" s="357"/>
      <c r="BB742" s="357"/>
      <c r="BC742" s="357"/>
      <c r="BD742" s="357"/>
    </row>
    <row r="743" spans="7:56">
      <c r="G743" s="357"/>
      <c r="H743" s="357"/>
      <c r="I743" s="357"/>
      <c r="J743" s="357"/>
      <c r="K743" s="357"/>
      <c r="L743" s="357"/>
      <c r="M743" s="357"/>
      <c r="N743" s="357"/>
      <c r="O743" s="357"/>
      <c r="P743" s="357"/>
      <c r="Q743" s="357"/>
      <c r="R743" s="357"/>
      <c r="S743" s="357"/>
      <c r="T743" s="357"/>
      <c r="U743" s="357"/>
      <c r="V743" s="357"/>
      <c r="W743" s="357"/>
      <c r="X743" s="357"/>
      <c r="Y743" s="357"/>
      <c r="Z743" s="357"/>
      <c r="AA743" s="357"/>
      <c r="AB743" s="357"/>
      <c r="AC743" s="357"/>
      <c r="AD743" s="357"/>
      <c r="AE743" s="357"/>
      <c r="AF743" s="357"/>
      <c r="AG743" s="357"/>
      <c r="AH743" s="357"/>
      <c r="AI743" s="357"/>
      <c r="AJ743" s="357"/>
      <c r="AK743" s="357"/>
      <c r="AL743" s="357"/>
      <c r="AM743" s="357"/>
      <c r="AN743" s="357"/>
      <c r="AO743" s="357"/>
      <c r="AP743" s="357"/>
      <c r="AQ743" s="357"/>
      <c r="AR743" s="357"/>
      <c r="AS743" s="357"/>
      <c r="AT743" s="357"/>
      <c r="AU743" s="357"/>
      <c r="AV743" s="357"/>
      <c r="AW743" s="357"/>
      <c r="AX743" s="357"/>
      <c r="AY743" s="357"/>
      <c r="AZ743" s="357"/>
      <c r="BA743" s="357"/>
      <c r="BB743" s="357"/>
      <c r="BC743" s="357"/>
      <c r="BD743" s="357"/>
    </row>
    <row r="744" spans="7:56">
      <c r="G744" s="357"/>
      <c r="H744" s="357"/>
      <c r="I744" s="357"/>
      <c r="J744" s="357"/>
      <c r="K744" s="357"/>
      <c r="L744" s="357"/>
      <c r="M744" s="357"/>
      <c r="N744" s="357"/>
      <c r="O744" s="357"/>
      <c r="P744" s="357"/>
      <c r="Q744" s="357"/>
      <c r="R744" s="357"/>
      <c r="S744" s="357"/>
      <c r="T744" s="357"/>
      <c r="U744" s="357"/>
      <c r="V744" s="357"/>
      <c r="W744" s="357"/>
      <c r="X744" s="357"/>
      <c r="Y744" s="357"/>
      <c r="Z744" s="357"/>
      <c r="AA744" s="357"/>
      <c r="AB744" s="357"/>
      <c r="AC744" s="357"/>
      <c r="AD744" s="357"/>
      <c r="AE744" s="357"/>
      <c r="AF744" s="357"/>
      <c r="AG744" s="357"/>
      <c r="AH744" s="357"/>
      <c r="AI744" s="357"/>
      <c r="AJ744" s="357"/>
      <c r="AK744" s="357"/>
      <c r="AL744" s="357"/>
      <c r="AM744" s="357"/>
      <c r="AN744" s="357"/>
      <c r="AO744" s="357"/>
      <c r="AP744" s="357"/>
      <c r="AQ744" s="357"/>
      <c r="AR744" s="357"/>
      <c r="AS744" s="357"/>
      <c r="AT744" s="357"/>
      <c r="AU744" s="357"/>
      <c r="AV744" s="357"/>
      <c r="AW744" s="357"/>
      <c r="AX744" s="357"/>
      <c r="AY744" s="357"/>
      <c r="AZ744" s="357"/>
      <c r="BA744" s="357"/>
      <c r="BB744" s="357"/>
      <c r="BC744" s="357"/>
      <c r="BD744" s="357"/>
    </row>
    <row r="745" spans="7:56">
      <c r="G745" s="357"/>
      <c r="H745" s="357"/>
      <c r="I745" s="357"/>
      <c r="J745" s="357"/>
      <c r="K745" s="357"/>
      <c r="L745" s="357"/>
      <c r="M745" s="357"/>
      <c r="N745" s="357"/>
      <c r="O745" s="357"/>
      <c r="P745" s="357"/>
      <c r="Q745" s="357"/>
      <c r="R745" s="357"/>
      <c r="S745" s="357"/>
      <c r="T745" s="357"/>
      <c r="U745" s="357"/>
      <c r="V745" s="357"/>
      <c r="W745" s="357"/>
      <c r="X745" s="357"/>
      <c r="Y745" s="357"/>
      <c r="Z745" s="357"/>
      <c r="AA745" s="357"/>
      <c r="AB745" s="357"/>
      <c r="AC745" s="357"/>
      <c r="AD745" s="357"/>
      <c r="AE745" s="357"/>
      <c r="AF745" s="357"/>
      <c r="AG745" s="357"/>
      <c r="AH745" s="357"/>
      <c r="AI745" s="357"/>
      <c r="AJ745" s="357"/>
      <c r="AK745" s="357"/>
      <c r="AL745" s="357"/>
      <c r="AM745" s="357"/>
      <c r="AN745" s="357"/>
      <c r="AO745" s="357"/>
      <c r="AP745" s="357"/>
      <c r="AQ745" s="357"/>
      <c r="AR745" s="357"/>
      <c r="AS745" s="357"/>
      <c r="AT745" s="357"/>
      <c r="AU745" s="357"/>
      <c r="AV745" s="357"/>
      <c r="AW745" s="357"/>
      <c r="AX745" s="357"/>
      <c r="AY745" s="357"/>
      <c r="AZ745" s="357"/>
      <c r="BA745" s="357"/>
      <c r="BB745" s="357"/>
      <c r="BC745" s="357"/>
      <c r="BD745" s="357"/>
    </row>
    <row r="746" spans="7:56">
      <c r="G746" s="357"/>
      <c r="H746" s="357"/>
      <c r="I746" s="357"/>
      <c r="J746" s="357"/>
      <c r="K746" s="357"/>
      <c r="L746" s="357"/>
      <c r="M746" s="357"/>
      <c r="N746" s="357"/>
      <c r="O746" s="357"/>
      <c r="P746" s="357"/>
      <c r="Q746" s="357"/>
      <c r="R746" s="357"/>
      <c r="S746" s="357"/>
      <c r="T746" s="357"/>
      <c r="U746" s="357"/>
      <c r="V746" s="357"/>
      <c r="W746" s="357"/>
      <c r="X746" s="357"/>
      <c r="Y746" s="357"/>
      <c r="Z746" s="357"/>
      <c r="AA746" s="357"/>
      <c r="AB746" s="357"/>
      <c r="AC746" s="357"/>
      <c r="AD746" s="357"/>
      <c r="AE746" s="357"/>
      <c r="AF746" s="357"/>
      <c r="AG746" s="357"/>
      <c r="AH746" s="357"/>
      <c r="AI746" s="357"/>
      <c r="AJ746" s="357"/>
      <c r="AK746" s="357"/>
      <c r="AL746" s="357"/>
      <c r="AM746" s="357"/>
      <c r="AN746" s="357"/>
      <c r="AO746" s="357"/>
      <c r="AP746" s="357"/>
      <c r="AQ746" s="357"/>
      <c r="AR746" s="357"/>
      <c r="AS746" s="357"/>
      <c r="AT746" s="357"/>
      <c r="AU746" s="357"/>
      <c r="AV746" s="357"/>
      <c r="AW746" s="357"/>
      <c r="AX746" s="357"/>
      <c r="AY746" s="357"/>
      <c r="AZ746" s="357"/>
      <c r="BA746" s="357"/>
      <c r="BB746" s="357"/>
      <c r="BC746" s="357"/>
      <c r="BD746" s="357"/>
    </row>
    <row r="747" spans="7:56">
      <c r="G747" s="357"/>
      <c r="H747" s="357"/>
      <c r="I747" s="357"/>
      <c r="J747" s="357"/>
      <c r="K747" s="357"/>
      <c r="L747" s="357"/>
      <c r="M747" s="357"/>
      <c r="N747" s="357"/>
      <c r="O747" s="357"/>
      <c r="P747" s="357"/>
      <c r="Q747" s="357"/>
      <c r="R747" s="357"/>
      <c r="S747" s="357"/>
      <c r="T747" s="357"/>
      <c r="U747" s="357"/>
      <c r="V747" s="357"/>
      <c r="W747" s="357"/>
      <c r="X747" s="357"/>
      <c r="Y747" s="357"/>
      <c r="Z747" s="357"/>
      <c r="AA747" s="357"/>
      <c r="AB747" s="357"/>
      <c r="AC747" s="357"/>
      <c r="AD747" s="357"/>
      <c r="AE747" s="357"/>
      <c r="AF747" s="357"/>
      <c r="AG747" s="357"/>
      <c r="AH747" s="357"/>
      <c r="AI747" s="357"/>
      <c r="AJ747" s="357"/>
      <c r="AK747" s="357"/>
      <c r="AL747" s="357"/>
      <c r="AM747" s="357"/>
      <c r="AN747" s="357"/>
      <c r="AO747" s="357"/>
      <c r="AP747" s="357"/>
      <c r="AQ747" s="357"/>
      <c r="AR747" s="357"/>
      <c r="AS747" s="357"/>
      <c r="AT747" s="357"/>
      <c r="AU747" s="357"/>
      <c r="AV747" s="357"/>
      <c r="AW747" s="357"/>
      <c r="AX747" s="357"/>
      <c r="AY747" s="357"/>
      <c r="AZ747" s="357"/>
      <c r="BA747" s="357"/>
      <c r="BB747" s="357"/>
      <c r="BC747" s="357"/>
      <c r="BD747" s="357"/>
    </row>
    <row r="748" spans="7:56">
      <c r="G748" s="357"/>
      <c r="H748" s="357"/>
      <c r="I748" s="357"/>
      <c r="J748" s="357"/>
      <c r="K748" s="357"/>
      <c r="L748" s="357"/>
      <c r="M748" s="357"/>
      <c r="N748" s="357"/>
      <c r="O748" s="357"/>
      <c r="P748" s="357"/>
      <c r="Q748" s="357"/>
      <c r="R748" s="357"/>
      <c r="S748" s="357"/>
      <c r="T748" s="357"/>
      <c r="U748" s="357"/>
      <c r="V748" s="357"/>
      <c r="W748" s="357"/>
      <c r="X748" s="357"/>
      <c r="Y748" s="357"/>
      <c r="Z748" s="357"/>
      <c r="AA748" s="357"/>
      <c r="AB748" s="357"/>
      <c r="AC748" s="357"/>
      <c r="AD748" s="357"/>
      <c r="AE748" s="357"/>
      <c r="AF748" s="357"/>
      <c r="AG748" s="357"/>
      <c r="AH748" s="357"/>
      <c r="AI748" s="357"/>
      <c r="AJ748" s="357"/>
      <c r="AK748" s="357"/>
      <c r="AL748" s="357"/>
      <c r="AM748" s="357"/>
      <c r="AN748" s="357"/>
      <c r="AO748" s="357"/>
      <c r="AP748" s="357"/>
      <c r="AQ748" s="357"/>
      <c r="AR748" s="357"/>
      <c r="AS748" s="357"/>
      <c r="AT748" s="357"/>
      <c r="AU748" s="357"/>
      <c r="AV748" s="357"/>
      <c r="AW748" s="357"/>
      <c r="AX748" s="357"/>
      <c r="AY748" s="357"/>
      <c r="AZ748" s="357"/>
      <c r="BA748" s="357"/>
      <c r="BB748" s="357"/>
      <c r="BC748" s="357"/>
      <c r="BD748" s="357"/>
    </row>
    <row r="749" spans="7:56">
      <c r="G749" s="357"/>
      <c r="H749" s="357"/>
      <c r="I749" s="357"/>
      <c r="J749" s="357"/>
      <c r="K749" s="357"/>
      <c r="L749" s="357"/>
      <c r="M749" s="357"/>
      <c r="N749" s="357"/>
      <c r="O749" s="357"/>
      <c r="P749" s="357"/>
      <c r="Q749" s="357"/>
      <c r="R749" s="357"/>
      <c r="S749" s="357"/>
      <c r="T749" s="357"/>
      <c r="U749" s="357"/>
      <c r="V749" s="357"/>
      <c r="W749" s="357"/>
      <c r="X749" s="357"/>
      <c r="Y749" s="357"/>
      <c r="Z749" s="357"/>
      <c r="AA749" s="357"/>
      <c r="AB749" s="357"/>
      <c r="AC749" s="357"/>
      <c r="AD749" s="357"/>
      <c r="AE749" s="357"/>
      <c r="AF749" s="357"/>
      <c r="AG749" s="357"/>
      <c r="AH749" s="357"/>
      <c r="AI749" s="357"/>
      <c r="AJ749" s="357"/>
      <c r="AK749" s="357"/>
      <c r="AL749" s="357"/>
      <c r="AM749" s="357"/>
      <c r="AN749" s="357"/>
      <c r="AO749" s="357"/>
      <c r="AP749" s="357"/>
      <c r="AQ749" s="357"/>
      <c r="AR749" s="357"/>
      <c r="AS749" s="357"/>
      <c r="AT749" s="357"/>
      <c r="AU749" s="357"/>
      <c r="AV749" s="357"/>
      <c r="AW749" s="357"/>
      <c r="AX749" s="357"/>
      <c r="AY749" s="357"/>
      <c r="AZ749" s="357"/>
      <c r="BA749" s="357"/>
      <c r="BB749" s="357"/>
      <c r="BC749" s="357"/>
      <c r="BD749" s="357"/>
    </row>
    <row r="750" spans="7:56">
      <c r="G750" s="357"/>
      <c r="H750" s="357"/>
      <c r="I750" s="357"/>
      <c r="J750" s="357"/>
      <c r="K750" s="357"/>
      <c r="L750" s="357"/>
      <c r="M750" s="357"/>
      <c r="N750" s="357"/>
      <c r="O750" s="357"/>
      <c r="P750" s="357"/>
      <c r="Q750" s="357"/>
      <c r="R750" s="357"/>
      <c r="S750" s="357"/>
      <c r="T750" s="357"/>
      <c r="U750" s="357"/>
      <c r="V750" s="357"/>
      <c r="W750" s="357"/>
      <c r="X750" s="357"/>
      <c r="Y750" s="357"/>
      <c r="Z750" s="357"/>
      <c r="AA750" s="357"/>
      <c r="AB750" s="357"/>
      <c r="AC750" s="357"/>
      <c r="AD750" s="357"/>
      <c r="AE750" s="357"/>
      <c r="AF750" s="357"/>
      <c r="AG750" s="357"/>
      <c r="AH750" s="357"/>
      <c r="AI750" s="357"/>
      <c r="AJ750" s="357"/>
      <c r="AK750" s="357"/>
      <c r="AL750" s="357"/>
      <c r="AM750" s="357"/>
      <c r="AN750" s="357"/>
      <c r="AO750" s="357"/>
      <c r="AP750" s="357"/>
      <c r="AQ750" s="357"/>
      <c r="AR750" s="357"/>
      <c r="AS750" s="357"/>
      <c r="AT750" s="357"/>
      <c r="AU750" s="357"/>
      <c r="AV750" s="357"/>
      <c r="AW750" s="357"/>
      <c r="AX750" s="357"/>
      <c r="AY750" s="357"/>
      <c r="AZ750" s="357"/>
      <c r="BA750" s="357"/>
      <c r="BB750" s="357"/>
      <c r="BC750" s="357"/>
      <c r="BD750" s="357"/>
    </row>
    <row r="751" spans="7:56">
      <c r="G751" s="357"/>
      <c r="H751" s="357"/>
      <c r="I751" s="357"/>
      <c r="J751" s="357"/>
      <c r="K751" s="357"/>
      <c r="L751" s="357"/>
      <c r="M751" s="357"/>
      <c r="N751" s="357"/>
      <c r="O751" s="357"/>
      <c r="P751" s="357"/>
      <c r="Q751" s="357"/>
      <c r="R751" s="357"/>
      <c r="S751" s="357"/>
      <c r="T751" s="357"/>
      <c r="U751" s="357"/>
      <c r="V751" s="357"/>
      <c r="W751" s="357"/>
      <c r="X751" s="357"/>
      <c r="Y751" s="357"/>
      <c r="Z751" s="357"/>
      <c r="AA751" s="357"/>
      <c r="AB751" s="357"/>
      <c r="AC751" s="357"/>
      <c r="AD751" s="357"/>
      <c r="AE751" s="357"/>
      <c r="AF751" s="357"/>
      <c r="AG751" s="357"/>
      <c r="AH751" s="357"/>
      <c r="AI751" s="357"/>
      <c r="AJ751" s="357"/>
      <c r="AK751" s="357"/>
      <c r="AL751" s="357"/>
      <c r="AM751" s="357"/>
      <c r="AN751" s="357"/>
      <c r="AO751" s="357"/>
      <c r="AP751" s="357"/>
      <c r="AQ751" s="357"/>
      <c r="AR751" s="357"/>
      <c r="AS751" s="357"/>
      <c r="AT751" s="357"/>
      <c r="AU751" s="357"/>
      <c r="AV751" s="357"/>
      <c r="AW751" s="357"/>
      <c r="AX751" s="357"/>
      <c r="AY751" s="357"/>
      <c r="AZ751" s="357"/>
      <c r="BA751" s="357"/>
      <c r="BB751" s="357"/>
      <c r="BC751" s="357"/>
      <c r="BD751" s="357"/>
    </row>
    <row r="752" spans="7:56">
      <c r="G752" s="357"/>
      <c r="H752" s="357"/>
      <c r="I752" s="357"/>
      <c r="J752" s="357"/>
      <c r="K752" s="357"/>
      <c r="L752" s="357"/>
      <c r="M752" s="357"/>
      <c r="N752" s="357"/>
      <c r="O752" s="357"/>
      <c r="P752" s="357"/>
      <c r="Q752" s="357"/>
      <c r="R752" s="357"/>
      <c r="S752" s="357"/>
      <c r="T752" s="357"/>
      <c r="U752" s="357"/>
      <c r="V752" s="357"/>
      <c r="W752" s="357"/>
      <c r="X752" s="357"/>
      <c r="Y752" s="357"/>
      <c r="Z752" s="357"/>
      <c r="AA752" s="357"/>
      <c r="AB752" s="357"/>
      <c r="AC752" s="357"/>
      <c r="AD752" s="357"/>
      <c r="AE752" s="357"/>
      <c r="AF752" s="357"/>
      <c r="AG752" s="357"/>
      <c r="AH752" s="357"/>
      <c r="AI752" s="357"/>
      <c r="AJ752" s="357"/>
      <c r="AK752" s="357"/>
      <c r="AL752" s="357"/>
      <c r="AM752" s="357"/>
      <c r="AN752" s="357"/>
      <c r="AO752" s="357"/>
      <c r="AP752" s="357"/>
      <c r="AQ752" s="357"/>
      <c r="AR752" s="357"/>
      <c r="AS752" s="357"/>
      <c r="AT752" s="357"/>
      <c r="AU752" s="357"/>
      <c r="AV752" s="357"/>
      <c r="AW752" s="357"/>
      <c r="AX752" s="357"/>
      <c r="AY752" s="357"/>
      <c r="AZ752" s="357"/>
      <c r="BA752" s="357"/>
      <c r="BB752" s="357"/>
      <c r="BC752" s="357"/>
      <c r="BD752" s="357"/>
    </row>
    <row r="753" spans="7:56">
      <c r="G753" s="357"/>
      <c r="H753" s="357"/>
      <c r="I753" s="357"/>
      <c r="J753" s="357"/>
      <c r="K753" s="357"/>
      <c r="L753" s="357"/>
      <c r="M753" s="357"/>
      <c r="N753" s="357"/>
      <c r="O753" s="357"/>
      <c r="P753" s="357"/>
      <c r="Q753" s="357"/>
      <c r="R753" s="357"/>
      <c r="S753" s="357"/>
      <c r="T753" s="357"/>
      <c r="U753" s="357"/>
      <c r="V753" s="357"/>
      <c r="W753" s="357"/>
      <c r="X753" s="357"/>
      <c r="Y753" s="357"/>
      <c r="Z753" s="357"/>
      <c r="AA753" s="357"/>
      <c r="AB753" s="357"/>
      <c r="AC753" s="357"/>
      <c r="AD753" s="357"/>
      <c r="AE753" s="357"/>
      <c r="AF753" s="357"/>
      <c r="AG753" s="357"/>
      <c r="AH753" s="357"/>
      <c r="AI753" s="357"/>
      <c r="AJ753" s="357"/>
      <c r="AK753" s="357"/>
      <c r="AL753" s="357"/>
      <c r="AM753" s="357"/>
      <c r="AN753" s="357"/>
      <c r="AO753" s="357"/>
      <c r="AP753" s="357"/>
      <c r="AQ753" s="357"/>
      <c r="AR753" s="357"/>
      <c r="AS753" s="357"/>
      <c r="AT753" s="357"/>
      <c r="AU753" s="357"/>
      <c r="AV753" s="357"/>
      <c r="AW753" s="357"/>
      <c r="AX753" s="357"/>
      <c r="AY753" s="357"/>
      <c r="AZ753" s="357"/>
      <c r="BA753" s="357"/>
      <c r="BB753" s="357"/>
      <c r="BC753" s="357"/>
      <c r="BD753" s="357"/>
    </row>
    <row r="754" spans="7:56">
      <c r="G754" s="357"/>
      <c r="H754" s="357"/>
      <c r="I754" s="357"/>
      <c r="J754" s="357"/>
      <c r="K754" s="357"/>
      <c r="L754" s="357"/>
      <c r="M754" s="357"/>
      <c r="N754" s="357"/>
      <c r="O754" s="357"/>
      <c r="P754" s="357"/>
      <c r="Q754" s="357"/>
      <c r="R754" s="357"/>
      <c r="S754" s="357"/>
      <c r="T754" s="357"/>
      <c r="U754" s="357"/>
      <c r="V754" s="357"/>
      <c r="W754" s="357"/>
      <c r="X754" s="357"/>
      <c r="Y754" s="357"/>
      <c r="Z754" s="357"/>
      <c r="AA754" s="357"/>
      <c r="AB754" s="357"/>
      <c r="AC754" s="357"/>
      <c r="AD754" s="357"/>
      <c r="AE754" s="357"/>
      <c r="AF754" s="357"/>
      <c r="AG754" s="357"/>
      <c r="AH754" s="357"/>
      <c r="AI754" s="357"/>
      <c r="AJ754" s="357"/>
      <c r="AK754" s="357"/>
      <c r="AL754" s="357"/>
      <c r="AM754" s="357"/>
      <c r="AN754" s="357"/>
      <c r="AO754" s="357"/>
      <c r="AP754" s="357"/>
      <c r="AQ754" s="357"/>
      <c r="AR754" s="357"/>
      <c r="AS754" s="357"/>
      <c r="AT754" s="357"/>
      <c r="AU754" s="357"/>
      <c r="AV754" s="357"/>
      <c r="AW754" s="357"/>
      <c r="AX754" s="357"/>
      <c r="AY754" s="357"/>
      <c r="AZ754" s="357"/>
      <c r="BA754" s="357"/>
      <c r="BB754" s="357"/>
      <c r="BC754" s="357"/>
      <c r="BD754" s="357"/>
    </row>
    <row r="755" spans="7:56">
      <c r="G755" s="357"/>
      <c r="H755" s="357"/>
      <c r="I755" s="357"/>
      <c r="J755" s="357"/>
      <c r="K755" s="357"/>
      <c r="L755" s="357"/>
      <c r="M755" s="357"/>
      <c r="N755" s="357"/>
      <c r="O755" s="357"/>
      <c r="P755" s="357"/>
      <c r="Q755" s="357"/>
      <c r="R755" s="357"/>
      <c r="S755" s="357"/>
      <c r="T755" s="357"/>
      <c r="U755" s="357"/>
      <c r="V755" s="357"/>
      <c r="W755" s="357"/>
      <c r="X755" s="357"/>
      <c r="Y755" s="357"/>
      <c r="Z755" s="357"/>
      <c r="AA755" s="357"/>
      <c r="AB755" s="357"/>
      <c r="AC755" s="357"/>
      <c r="AD755" s="357"/>
      <c r="AE755" s="357"/>
      <c r="AF755" s="357"/>
      <c r="AG755" s="357"/>
      <c r="AH755" s="357"/>
      <c r="AI755" s="357"/>
      <c r="AJ755" s="357"/>
      <c r="AK755" s="357"/>
      <c r="AL755" s="357"/>
      <c r="AM755" s="357"/>
      <c r="AN755" s="357"/>
      <c r="AO755" s="357"/>
      <c r="AP755" s="357"/>
      <c r="AQ755" s="357"/>
      <c r="AR755" s="357"/>
      <c r="AS755" s="357"/>
      <c r="AT755" s="357"/>
      <c r="AU755" s="357"/>
      <c r="AV755" s="357"/>
      <c r="AW755" s="357"/>
      <c r="AX755" s="357"/>
      <c r="AY755" s="357"/>
      <c r="AZ755" s="357"/>
      <c r="BA755" s="357"/>
      <c r="BB755" s="357"/>
      <c r="BC755" s="357"/>
      <c r="BD755" s="357"/>
    </row>
    <row r="756" spans="7:56">
      <c r="G756" s="357"/>
      <c r="H756" s="357"/>
      <c r="I756" s="357"/>
      <c r="J756" s="357"/>
      <c r="K756" s="357"/>
      <c r="L756" s="357"/>
      <c r="M756" s="357"/>
      <c r="N756" s="357"/>
      <c r="O756" s="357"/>
      <c r="P756" s="357"/>
      <c r="Q756" s="357"/>
      <c r="R756" s="357"/>
      <c r="S756" s="357"/>
      <c r="T756" s="357"/>
      <c r="U756" s="357"/>
      <c r="V756" s="357"/>
      <c r="W756" s="357"/>
      <c r="X756" s="357"/>
      <c r="Y756" s="357"/>
      <c r="Z756" s="357"/>
      <c r="AA756" s="357"/>
      <c r="AB756" s="357"/>
      <c r="AC756" s="357"/>
      <c r="AD756" s="357"/>
      <c r="AE756" s="357"/>
      <c r="AF756" s="357"/>
      <c r="AG756" s="357"/>
      <c r="AH756" s="357"/>
      <c r="AI756" s="357"/>
      <c r="AJ756" s="357"/>
      <c r="AK756" s="357"/>
      <c r="AL756" s="357"/>
      <c r="AM756" s="357"/>
      <c r="AN756" s="357"/>
      <c r="AO756" s="357"/>
      <c r="AP756" s="357"/>
      <c r="AQ756" s="357"/>
      <c r="AR756" s="357"/>
      <c r="AS756" s="357"/>
      <c r="AT756" s="357"/>
      <c r="AU756" s="357"/>
      <c r="AV756" s="357"/>
      <c r="AW756" s="357"/>
      <c r="AX756" s="357"/>
      <c r="AY756" s="357"/>
      <c r="AZ756" s="357"/>
      <c r="BA756" s="357"/>
      <c r="BB756" s="357"/>
      <c r="BC756" s="357"/>
      <c r="BD756" s="357"/>
    </row>
    <row r="757" spans="7:56">
      <c r="G757" s="357"/>
      <c r="H757" s="357"/>
      <c r="I757" s="357"/>
      <c r="J757" s="357"/>
      <c r="K757" s="357"/>
      <c r="L757" s="357"/>
      <c r="M757" s="357"/>
      <c r="N757" s="357"/>
      <c r="O757" s="357"/>
      <c r="P757" s="357"/>
      <c r="Q757" s="357"/>
      <c r="R757" s="357"/>
      <c r="S757" s="357"/>
      <c r="T757" s="357"/>
      <c r="U757" s="357"/>
      <c r="V757" s="357"/>
      <c r="W757" s="357"/>
      <c r="X757" s="357"/>
      <c r="Y757" s="357"/>
      <c r="Z757" s="357"/>
      <c r="AA757" s="357"/>
      <c r="AB757" s="357"/>
      <c r="AC757" s="357"/>
      <c r="AD757" s="357"/>
      <c r="AE757" s="357"/>
      <c r="AF757" s="357"/>
      <c r="AG757" s="357"/>
      <c r="AH757" s="357"/>
      <c r="AI757" s="357"/>
      <c r="AJ757" s="357"/>
      <c r="AK757" s="357"/>
      <c r="AL757" s="357"/>
      <c r="AM757" s="357"/>
      <c r="AN757" s="357"/>
      <c r="AO757" s="357"/>
      <c r="AP757" s="357"/>
      <c r="AQ757" s="357"/>
      <c r="AR757" s="357"/>
      <c r="AS757" s="357"/>
      <c r="AT757" s="357"/>
      <c r="AU757" s="357"/>
      <c r="AV757" s="357"/>
      <c r="AW757" s="357"/>
      <c r="AX757" s="357"/>
      <c r="AY757" s="357"/>
      <c r="AZ757" s="357"/>
      <c r="BA757" s="357"/>
      <c r="BB757" s="357"/>
      <c r="BC757" s="357"/>
      <c r="BD757" s="357"/>
    </row>
    <row r="758" spans="7:56">
      <c r="G758" s="357"/>
      <c r="H758" s="357"/>
      <c r="I758" s="357"/>
      <c r="J758" s="357"/>
      <c r="K758" s="357"/>
      <c r="L758" s="357"/>
      <c r="M758" s="357"/>
      <c r="N758" s="357"/>
      <c r="O758" s="357"/>
      <c r="P758" s="357"/>
      <c r="Q758" s="357"/>
      <c r="R758" s="357"/>
      <c r="S758" s="357"/>
      <c r="T758" s="357"/>
      <c r="U758" s="357"/>
      <c r="V758" s="357"/>
      <c r="W758" s="357"/>
      <c r="X758" s="357"/>
      <c r="Y758" s="357"/>
      <c r="Z758" s="357"/>
      <c r="AA758" s="357"/>
      <c r="AB758" s="357"/>
      <c r="AC758" s="357"/>
      <c r="AD758" s="357"/>
      <c r="AE758" s="357"/>
      <c r="AF758" s="357"/>
      <c r="AG758" s="357"/>
      <c r="AH758" s="357"/>
      <c r="AI758" s="357"/>
      <c r="AJ758" s="357"/>
      <c r="AK758" s="357"/>
      <c r="AL758" s="357"/>
      <c r="AM758" s="357"/>
      <c r="AN758" s="357"/>
      <c r="AO758" s="357"/>
      <c r="AP758" s="357"/>
      <c r="AQ758" s="357"/>
      <c r="AR758" s="357"/>
      <c r="AS758" s="357"/>
      <c r="AT758" s="357"/>
      <c r="AU758" s="357"/>
      <c r="AV758" s="357"/>
      <c r="AW758" s="357"/>
      <c r="AX758" s="357"/>
      <c r="AY758" s="357"/>
      <c r="AZ758" s="357"/>
      <c r="BA758" s="357"/>
      <c r="BB758" s="357"/>
      <c r="BC758" s="357"/>
      <c r="BD758" s="357"/>
    </row>
    <row r="759" spans="7:56">
      <c r="G759" s="357"/>
      <c r="H759" s="357"/>
      <c r="I759" s="357"/>
      <c r="J759" s="357"/>
      <c r="K759" s="357"/>
      <c r="L759" s="357"/>
      <c r="M759" s="357"/>
      <c r="N759" s="357"/>
      <c r="O759" s="357"/>
      <c r="P759" s="357"/>
      <c r="Q759" s="357"/>
      <c r="R759" s="357"/>
      <c r="S759" s="357"/>
      <c r="T759" s="357"/>
      <c r="U759" s="357"/>
      <c r="V759" s="357"/>
      <c r="W759" s="357"/>
      <c r="X759" s="357"/>
      <c r="Y759" s="357"/>
      <c r="Z759" s="357"/>
      <c r="AA759" s="357"/>
      <c r="AB759" s="357"/>
      <c r="AC759" s="357"/>
      <c r="AD759" s="357"/>
      <c r="AE759" s="357"/>
      <c r="AF759" s="357"/>
      <c r="AG759" s="357"/>
      <c r="AH759" s="357"/>
      <c r="AI759" s="357"/>
      <c r="AJ759" s="357"/>
      <c r="AK759" s="357"/>
      <c r="AL759" s="357"/>
      <c r="AM759" s="357"/>
      <c r="AN759" s="357"/>
      <c r="AO759" s="357"/>
      <c r="AP759" s="357"/>
      <c r="AQ759" s="357"/>
      <c r="AR759" s="357"/>
      <c r="AS759" s="357"/>
      <c r="AT759" s="357"/>
      <c r="AU759" s="357"/>
      <c r="AV759" s="357"/>
      <c r="AW759" s="357"/>
      <c r="AX759" s="357"/>
      <c r="AY759" s="357"/>
      <c r="AZ759" s="357"/>
      <c r="BA759" s="357"/>
      <c r="BB759" s="357"/>
      <c r="BC759" s="357"/>
      <c r="BD759" s="357"/>
    </row>
    <row r="760" spans="7:56">
      <c r="G760" s="357"/>
      <c r="H760" s="357"/>
      <c r="I760" s="357"/>
      <c r="J760" s="357"/>
      <c r="K760" s="357"/>
      <c r="L760" s="357"/>
      <c r="M760" s="357"/>
      <c r="N760" s="357"/>
      <c r="O760" s="357"/>
      <c r="P760" s="357"/>
      <c r="Q760" s="357"/>
      <c r="R760" s="357"/>
      <c r="S760" s="357"/>
      <c r="T760" s="357"/>
      <c r="U760" s="357"/>
      <c r="V760" s="357"/>
      <c r="W760" s="357"/>
      <c r="X760" s="357"/>
      <c r="Y760" s="357"/>
      <c r="Z760" s="357"/>
      <c r="AA760" s="357"/>
      <c r="AB760" s="357"/>
      <c r="AC760" s="357"/>
      <c r="AD760" s="357"/>
      <c r="AE760" s="357"/>
      <c r="AF760" s="357"/>
      <c r="AG760" s="357"/>
      <c r="AH760" s="357"/>
      <c r="AI760" s="357"/>
      <c r="AJ760" s="357"/>
      <c r="AK760" s="357"/>
      <c r="AL760" s="357"/>
      <c r="AM760" s="357"/>
      <c r="AN760" s="357"/>
      <c r="AO760" s="357"/>
      <c r="AP760" s="357"/>
      <c r="AQ760" s="357"/>
      <c r="AR760" s="357"/>
      <c r="AS760" s="357"/>
      <c r="AT760" s="357"/>
      <c r="AU760" s="357"/>
      <c r="AV760" s="357"/>
      <c r="AW760" s="357"/>
      <c r="AX760" s="357"/>
      <c r="AY760" s="357"/>
      <c r="AZ760" s="357"/>
      <c r="BA760" s="357"/>
      <c r="BB760" s="357"/>
      <c r="BC760" s="357"/>
      <c r="BD760" s="357"/>
    </row>
    <row r="761" spans="7:56">
      <c r="G761" s="357"/>
      <c r="H761" s="357"/>
      <c r="I761" s="357"/>
      <c r="J761" s="357"/>
      <c r="K761" s="357"/>
      <c r="L761" s="357"/>
      <c r="M761" s="357"/>
      <c r="N761" s="357"/>
      <c r="O761" s="357"/>
      <c r="P761" s="357"/>
      <c r="Q761" s="357"/>
      <c r="R761" s="357"/>
      <c r="S761" s="357"/>
      <c r="T761" s="357"/>
      <c r="U761" s="357"/>
      <c r="V761" s="357"/>
      <c r="W761" s="357"/>
      <c r="X761" s="357"/>
      <c r="Y761" s="357"/>
      <c r="Z761" s="357"/>
      <c r="AA761" s="357"/>
      <c r="AB761" s="357"/>
      <c r="AC761" s="357"/>
      <c r="AD761" s="357"/>
      <c r="AE761" s="357"/>
      <c r="AF761" s="357"/>
      <c r="AG761" s="357"/>
      <c r="AH761" s="357"/>
      <c r="AI761" s="357"/>
      <c r="AJ761" s="357"/>
      <c r="AK761" s="357"/>
      <c r="AL761" s="357"/>
      <c r="AM761" s="357"/>
      <c r="AN761" s="357"/>
      <c r="AO761" s="357"/>
      <c r="AP761" s="357"/>
      <c r="AQ761" s="357"/>
      <c r="AR761" s="357"/>
      <c r="AS761" s="357"/>
      <c r="AT761" s="357"/>
      <c r="AU761" s="357"/>
      <c r="AV761" s="357"/>
      <c r="AW761" s="357"/>
      <c r="AX761" s="357"/>
      <c r="AY761" s="357"/>
      <c r="AZ761" s="357"/>
      <c r="BA761" s="357"/>
      <c r="BB761" s="357"/>
      <c r="BC761" s="357"/>
      <c r="BD761" s="357"/>
    </row>
    <row r="762" spans="7:56">
      <c r="G762" s="357"/>
      <c r="H762" s="357"/>
      <c r="I762" s="357"/>
      <c r="J762" s="357"/>
      <c r="K762" s="357"/>
      <c r="L762" s="357"/>
      <c r="M762" s="357"/>
      <c r="N762" s="357"/>
      <c r="O762" s="357"/>
      <c r="P762" s="357"/>
      <c r="Q762" s="357"/>
      <c r="R762" s="357"/>
      <c r="S762" s="357"/>
      <c r="T762" s="357"/>
      <c r="U762" s="357"/>
      <c r="V762" s="357"/>
      <c r="W762" s="357"/>
      <c r="X762" s="357"/>
      <c r="Y762" s="357"/>
      <c r="Z762" s="357"/>
      <c r="AA762" s="357"/>
      <c r="AB762" s="357"/>
      <c r="AC762" s="357"/>
      <c r="AD762" s="357"/>
      <c r="AE762" s="357"/>
      <c r="AF762" s="357"/>
      <c r="AG762" s="357"/>
      <c r="AH762" s="357"/>
      <c r="AI762" s="357"/>
      <c r="AJ762" s="357"/>
      <c r="AK762" s="357"/>
      <c r="AL762" s="357"/>
      <c r="AM762" s="357"/>
      <c r="AN762" s="357"/>
      <c r="AO762" s="357"/>
      <c r="AP762" s="357"/>
      <c r="AQ762" s="357"/>
      <c r="AR762" s="357"/>
      <c r="AS762" s="357"/>
      <c r="AT762" s="357"/>
      <c r="AU762" s="357"/>
      <c r="AV762" s="357"/>
      <c r="AW762" s="357"/>
      <c r="AX762" s="357"/>
      <c r="AY762" s="357"/>
      <c r="AZ762" s="357"/>
      <c r="BA762" s="357"/>
      <c r="BB762" s="357"/>
      <c r="BC762" s="357"/>
      <c r="BD762" s="357"/>
    </row>
    <row r="763" spans="7:56">
      <c r="G763" s="357"/>
      <c r="H763" s="357"/>
      <c r="I763" s="357"/>
      <c r="J763" s="357"/>
      <c r="K763" s="357"/>
      <c r="L763" s="357"/>
      <c r="M763" s="357"/>
      <c r="N763" s="357"/>
      <c r="O763" s="357"/>
      <c r="P763" s="357"/>
      <c r="Q763" s="357"/>
      <c r="R763" s="357"/>
      <c r="S763" s="357"/>
      <c r="T763" s="357"/>
      <c r="U763" s="357"/>
      <c r="V763" s="357"/>
      <c r="W763" s="357"/>
      <c r="X763" s="357"/>
      <c r="Y763" s="357"/>
      <c r="Z763" s="357"/>
      <c r="AA763" s="357"/>
      <c r="AB763" s="357"/>
      <c r="AC763" s="357"/>
      <c r="AD763" s="357"/>
      <c r="AE763" s="357"/>
      <c r="AF763" s="357"/>
      <c r="AG763" s="357"/>
      <c r="AH763" s="357"/>
      <c r="AI763" s="357"/>
      <c r="AJ763" s="357"/>
      <c r="AK763" s="357"/>
      <c r="AL763" s="357"/>
      <c r="AM763" s="357"/>
      <c r="AN763" s="357"/>
      <c r="AO763" s="357"/>
      <c r="AP763" s="357"/>
      <c r="AQ763" s="357"/>
      <c r="AR763" s="357"/>
      <c r="AS763" s="357"/>
      <c r="AT763" s="357"/>
      <c r="AU763" s="357"/>
      <c r="AV763" s="357"/>
      <c r="AW763" s="357"/>
      <c r="AX763" s="357"/>
      <c r="AY763" s="357"/>
      <c r="AZ763" s="357"/>
      <c r="BA763" s="357"/>
      <c r="BB763" s="357"/>
      <c r="BC763" s="357"/>
      <c r="BD763" s="357"/>
    </row>
    <row r="764" spans="7:56">
      <c r="G764" s="357"/>
      <c r="H764" s="357"/>
      <c r="I764" s="357"/>
      <c r="J764" s="357"/>
      <c r="K764" s="357"/>
      <c r="L764" s="357"/>
      <c r="M764" s="357"/>
      <c r="N764" s="357"/>
      <c r="O764" s="357"/>
      <c r="P764" s="357"/>
      <c r="Q764" s="357"/>
      <c r="R764" s="357"/>
      <c r="S764" s="357"/>
      <c r="T764" s="357"/>
      <c r="U764" s="357"/>
      <c r="V764" s="357"/>
      <c r="W764" s="357"/>
      <c r="X764" s="357"/>
      <c r="Y764" s="357"/>
      <c r="Z764" s="357"/>
      <c r="AA764" s="357"/>
      <c r="AB764" s="357"/>
      <c r="AC764" s="357"/>
      <c r="AD764" s="357"/>
      <c r="AE764" s="357"/>
      <c r="AF764" s="357"/>
      <c r="AG764" s="357"/>
      <c r="AH764" s="357"/>
      <c r="AI764" s="357"/>
      <c r="AJ764" s="357"/>
      <c r="AK764" s="357"/>
      <c r="AL764" s="357"/>
      <c r="AM764" s="357"/>
      <c r="AN764" s="357"/>
      <c r="AO764" s="357"/>
      <c r="AP764" s="357"/>
      <c r="AQ764" s="357"/>
      <c r="AR764" s="357"/>
      <c r="AS764" s="357"/>
      <c r="AT764" s="357"/>
      <c r="AU764" s="357"/>
      <c r="AV764" s="357"/>
      <c r="AW764" s="357"/>
      <c r="AX764" s="357"/>
      <c r="AY764" s="357"/>
      <c r="AZ764" s="357"/>
      <c r="BA764" s="357"/>
      <c r="BB764" s="357"/>
      <c r="BC764" s="357"/>
      <c r="BD764" s="357"/>
    </row>
    <row r="765" spans="7:56">
      <c r="G765" s="357"/>
      <c r="H765" s="357"/>
      <c r="I765" s="357"/>
      <c r="J765" s="357"/>
      <c r="K765" s="357"/>
      <c r="L765" s="357"/>
      <c r="M765" s="357"/>
      <c r="N765" s="357"/>
      <c r="O765" s="357"/>
      <c r="P765" s="357"/>
      <c r="Q765" s="357"/>
      <c r="R765" s="357"/>
      <c r="S765" s="357"/>
      <c r="T765" s="357"/>
      <c r="U765" s="357"/>
      <c r="V765" s="357"/>
      <c r="W765" s="357"/>
      <c r="X765" s="357"/>
      <c r="Y765" s="357"/>
      <c r="Z765" s="357"/>
      <c r="AA765" s="357"/>
      <c r="AB765" s="357"/>
      <c r="AC765" s="357"/>
      <c r="AD765" s="357"/>
      <c r="AE765" s="357"/>
      <c r="AF765" s="357"/>
      <c r="AG765" s="357"/>
      <c r="AH765" s="357"/>
      <c r="AI765" s="357"/>
      <c r="AJ765" s="357"/>
      <c r="AK765" s="357"/>
      <c r="AL765" s="357"/>
      <c r="AM765" s="357"/>
      <c r="AN765" s="357"/>
      <c r="AO765" s="357"/>
      <c r="AP765" s="357"/>
      <c r="AQ765" s="357"/>
      <c r="AR765" s="357"/>
      <c r="AS765" s="357"/>
      <c r="AT765" s="357"/>
      <c r="AU765" s="357"/>
      <c r="AV765" s="357"/>
      <c r="AW765" s="357"/>
      <c r="AX765" s="357"/>
      <c r="AY765" s="357"/>
      <c r="AZ765" s="357"/>
      <c r="BA765" s="357"/>
      <c r="BB765" s="357"/>
      <c r="BC765" s="357"/>
      <c r="BD765" s="357"/>
    </row>
    <row r="766" spans="7:56">
      <c r="G766" s="357"/>
      <c r="H766" s="357"/>
      <c r="I766" s="357"/>
      <c r="J766" s="357"/>
      <c r="K766" s="357"/>
      <c r="L766" s="357"/>
      <c r="M766" s="357"/>
      <c r="N766" s="357"/>
      <c r="O766" s="357"/>
      <c r="P766" s="357"/>
      <c r="Q766" s="357"/>
      <c r="R766" s="357"/>
      <c r="S766" s="357"/>
      <c r="T766" s="357"/>
      <c r="U766" s="357"/>
      <c r="V766" s="357"/>
      <c r="W766" s="357"/>
      <c r="X766" s="357"/>
      <c r="Y766" s="357"/>
      <c r="Z766" s="357"/>
      <c r="AA766" s="357"/>
      <c r="AB766" s="357"/>
      <c r="AC766" s="357"/>
      <c r="AD766" s="357"/>
      <c r="AE766" s="357"/>
      <c r="AF766" s="357"/>
      <c r="AG766" s="357"/>
      <c r="AH766" s="357"/>
      <c r="AI766" s="357"/>
      <c r="AJ766" s="357"/>
      <c r="AK766" s="357"/>
      <c r="AL766" s="357"/>
      <c r="AM766" s="357"/>
      <c r="AN766" s="357"/>
      <c r="AO766" s="357"/>
      <c r="AP766" s="357"/>
      <c r="AQ766" s="357"/>
      <c r="AR766" s="357"/>
      <c r="AS766" s="357"/>
      <c r="AT766" s="357"/>
      <c r="AU766" s="357"/>
      <c r="AV766" s="357"/>
      <c r="AW766" s="357"/>
      <c r="AX766" s="357"/>
      <c r="AY766" s="357"/>
      <c r="AZ766" s="357"/>
      <c r="BA766" s="357"/>
      <c r="BB766" s="357"/>
      <c r="BC766" s="357"/>
      <c r="BD766" s="357"/>
    </row>
    <row r="767" spans="7:56">
      <c r="G767" s="357"/>
      <c r="H767" s="357"/>
      <c r="I767" s="357"/>
      <c r="J767" s="357"/>
      <c r="K767" s="357"/>
      <c r="L767" s="357"/>
      <c r="M767" s="357"/>
      <c r="N767" s="357"/>
      <c r="O767" s="357"/>
      <c r="P767" s="357"/>
      <c r="Q767" s="357"/>
      <c r="R767" s="357"/>
      <c r="S767" s="357"/>
      <c r="T767" s="357"/>
      <c r="U767" s="357"/>
      <c r="V767" s="357"/>
      <c r="W767" s="357"/>
      <c r="X767" s="357"/>
      <c r="Y767" s="357"/>
      <c r="Z767" s="357"/>
      <c r="AA767" s="357"/>
      <c r="AB767" s="357"/>
      <c r="AC767" s="357"/>
      <c r="AD767" s="357"/>
      <c r="AE767" s="357"/>
      <c r="AF767" s="357"/>
      <c r="AG767" s="357"/>
      <c r="AH767" s="357"/>
      <c r="AI767" s="357"/>
      <c r="AJ767" s="357"/>
      <c r="AK767" s="357"/>
      <c r="AL767" s="357"/>
      <c r="AM767" s="357"/>
      <c r="AN767" s="357"/>
      <c r="AO767" s="357"/>
      <c r="AP767" s="357"/>
      <c r="AQ767" s="357"/>
      <c r="AR767" s="357"/>
      <c r="AS767" s="357"/>
      <c r="AT767" s="357"/>
      <c r="AU767" s="357"/>
      <c r="AV767" s="357"/>
      <c r="AW767" s="357"/>
      <c r="AX767" s="357"/>
      <c r="AY767" s="357"/>
      <c r="AZ767" s="357"/>
      <c r="BA767" s="357"/>
      <c r="BB767" s="357"/>
      <c r="BC767" s="357"/>
      <c r="BD767" s="357"/>
    </row>
    <row r="768" spans="7:56">
      <c r="G768" s="357"/>
      <c r="H768" s="357"/>
      <c r="I768" s="357"/>
      <c r="J768" s="357"/>
      <c r="K768" s="357"/>
      <c r="L768" s="357"/>
      <c r="M768" s="357"/>
      <c r="N768" s="357"/>
      <c r="O768" s="357"/>
      <c r="P768" s="357"/>
      <c r="Q768" s="357"/>
      <c r="R768" s="357"/>
      <c r="S768" s="357"/>
      <c r="T768" s="357"/>
      <c r="U768" s="357"/>
      <c r="V768" s="357"/>
      <c r="W768" s="357"/>
      <c r="X768" s="357"/>
      <c r="Y768" s="357"/>
      <c r="Z768" s="357"/>
      <c r="AA768" s="357"/>
      <c r="AB768" s="357"/>
      <c r="AC768" s="357"/>
      <c r="AD768" s="357"/>
      <c r="AE768" s="357"/>
      <c r="AF768" s="357"/>
      <c r="AG768" s="357"/>
      <c r="AH768" s="357"/>
      <c r="AI768" s="357"/>
      <c r="AJ768" s="357"/>
      <c r="AK768" s="357"/>
      <c r="AL768" s="357"/>
      <c r="AM768" s="357"/>
      <c r="AN768" s="357"/>
      <c r="AO768" s="357"/>
      <c r="AP768" s="357"/>
      <c r="AQ768" s="357"/>
      <c r="AR768" s="357"/>
      <c r="AS768" s="357"/>
      <c r="AT768" s="357"/>
      <c r="AU768" s="357"/>
      <c r="AV768" s="357"/>
      <c r="AW768" s="357"/>
      <c r="AX768" s="357"/>
      <c r="AY768" s="357"/>
      <c r="AZ768" s="357"/>
      <c r="BA768" s="357"/>
      <c r="BB768" s="357"/>
      <c r="BC768" s="357"/>
      <c r="BD768" s="357"/>
    </row>
    <row r="769" spans="7:56">
      <c r="G769" s="357"/>
      <c r="H769" s="357"/>
      <c r="I769" s="357"/>
      <c r="J769" s="357"/>
      <c r="K769" s="357"/>
      <c r="L769" s="357"/>
      <c r="M769" s="357"/>
      <c r="N769" s="357"/>
      <c r="O769" s="357"/>
      <c r="P769" s="357"/>
      <c r="Q769" s="357"/>
      <c r="R769" s="357"/>
      <c r="S769" s="357"/>
      <c r="T769" s="357"/>
      <c r="U769" s="357"/>
      <c r="V769" s="357"/>
      <c r="W769" s="357"/>
      <c r="X769" s="357"/>
      <c r="Y769" s="357"/>
      <c r="Z769" s="357"/>
      <c r="AA769" s="357"/>
      <c r="AB769" s="357"/>
      <c r="AC769" s="357"/>
      <c r="AD769" s="357"/>
      <c r="AE769" s="357"/>
      <c r="AF769" s="357"/>
      <c r="AG769" s="357"/>
      <c r="AH769" s="357"/>
      <c r="AI769" s="357"/>
      <c r="AJ769" s="357"/>
      <c r="AK769" s="357"/>
      <c r="AL769" s="357"/>
      <c r="AM769" s="357"/>
      <c r="AN769" s="357"/>
      <c r="AO769" s="357"/>
      <c r="AP769" s="357"/>
      <c r="AQ769" s="357"/>
      <c r="AR769" s="357"/>
      <c r="AS769" s="357"/>
      <c r="AT769" s="357"/>
      <c r="AU769" s="357"/>
      <c r="AV769" s="357"/>
      <c r="AW769" s="357"/>
      <c r="AX769" s="357"/>
      <c r="AY769" s="357"/>
      <c r="AZ769" s="357"/>
      <c r="BA769" s="357"/>
      <c r="BB769" s="357"/>
      <c r="BC769" s="357"/>
      <c r="BD769" s="357"/>
    </row>
    <row r="770" spans="7:56">
      <c r="G770" s="357"/>
      <c r="H770" s="357"/>
      <c r="I770" s="357"/>
      <c r="J770" s="357"/>
      <c r="K770" s="357"/>
      <c r="L770" s="357"/>
      <c r="M770" s="357"/>
      <c r="N770" s="357"/>
      <c r="O770" s="357"/>
      <c r="P770" s="357"/>
      <c r="Q770" s="357"/>
      <c r="R770" s="357"/>
      <c r="S770" s="357"/>
      <c r="T770" s="357"/>
      <c r="U770" s="357"/>
      <c r="V770" s="357"/>
      <c r="W770" s="357"/>
      <c r="X770" s="357"/>
      <c r="Y770" s="357"/>
      <c r="Z770" s="357"/>
      <c r="AA770" s="357"/>
      <c r="AB770" s="357"/>
      <c r="AC770" s="357"/>
      <c r="AD770" s="357"/>
      <c r="AE770" s="357"/>
      <c r="AF770" s="357"/>
      <c r="AG770" s="357"/>
      <c r="AH770" s="357"/>
      <c r="AI770" s="357"/>
      <c r="AJ770" s="357"/>
      <c r="AK770" s="357"/>
      <c r="AL770" s="357"/>
      <c r="AM770" s="357"/>
      <c r="AN770" s="357"/>
      <c r="AO770" s="357"/>
      <c r="AP770" s="357"/>
      <c r="AQ770" s="357"/>
      <c r="AR770" s="357"/>
      <c r="AS770" s="357"/>
      <c r="AT770" s="357"/>
      <c r="AU770" s="357"/>
      <c r="AV770" s="357"/>
      <c r="AW770" s="357"/>
      <c r="AX770" s="357"/>
      <c r="AY770" s="357"/>
      <c r="AZ770" s="357"/>
      <c r="BA770" s="357"/>
      <c r="BB770" s="357"/>
      <c r="BC770" s="357"/>
      <c r="BD770" s="357"/>
    </row>
    <row r="771" spans="7:56">
      <c r="G771" s="357"/>
      <c r="H771" s="357"/>
      <c r="I771" s="357"/>
      <c r="J771" s="357"/>
      <c r="K771" s="357"/>
      <c r="L771" s="357"/>
      <c r="M771" s="357"/>
      <c r="N771" s="357"/>
      <c r="O771" s="357"/>
      <c r="P771" s="357"/>
      <c r="Q771" s="357"/>
      <c r="R771" s="357"/>
      <c r="S771" s="357"/>
      <c r="T771" s="357"/>
      <c r="U771" s="357"/>
      <c r="V771" s="357"/>
      <c r="W771" s="357"/>
      <c r="X771" s="357"/>
      <c r="Y771" s="357"/>
      <c r="Z771" s="357"/>
      <c r="AA771" s="357"/>
      <c r="AB771" s="357"/>
      <c r="AC771" s="357"/>
      <c r="AD771" s="357"/>
      <c r="AE771" s="357"/>
      <c r="AF771" s="357"/>
      <c r="AG771" s="357"/>
      <c r="AH771" s="357"/>
      <c r="AI771" s="357"/>
      <c r="AJ771" s="357"/>
      <c r="AK771" s="357"/>
      <c r="AL771" s="357"/>
      <c r="AM771" s="357"/>
      <c r="AN771" s="357"/>
      <c r="AO771" s="357"/>
      <c r="AP771" s="357"/>
      <c r="AQ771" s="357"/>
      <c r="AR771" s="357"/>
      <c r="AS771" s="357"/>
      <c r="AT771" s="357"/>
      <c r="AU771" s="357"/>
      <c r="AV771" s="357"/>
      <c r="AW771" s="357"/>
      <c r="AX771" s="357"/>
      <c r="AY771" s="357"/>
      <c r="AZ771" s="357"/>
      <c r="BA771" s="357"/>
      <c r="BB771" s="357"/>
      <c r="BC771" s="357"/>
      <c r="BD771" s="357"/>
    </row>
    <row r="772" spans="7:56">
      <c r="G772" s="357"/>
      <c r="H772" s="357"/>
      <c r="I772" s="357"/>
      <c r="J772" s="357"/>
      <c r="K772" s="357"/>
      <c r="L772" s="357"/>
      <c r="M772" s="357"/>
      <c r="N772" s="357"/>
      <c r="O772" s="357"/>
      <c r="P772" s="357"/>
      <c r="Q772" s="357"/>
      <c r="R772" s="357"/>
      <c r="S772" s="357"/>
      <c r="T772" s="357"/>
      <c r="U772" s="357"/>
      <c r="V772" s="357"/>
      <c r="W772" s="357"/>
      <c r="X772" s="357"/>
      <c r="Y772" s="357"/>
      <c r="Z772" s="357"/>
      <c r="AA772" s="357"/>
      <c r="AB772" s="357"/>
      <c r="AC772" s="357"/>
      <c r="AD772" s="357"/>
      <c r="AE772" s="357"/>
      <c r="AF772" s="357"/>
      <c r="AG772" s="357"/>
      <c r="AH772" s="357"/>
      <c r="AI772" s="357"/>
      <c r="AJ772" s="357"/>
      <c r="AK772" s="357"/>
      <c r="AL772" s="357"/>
      <c r="AM772" s="357"/>
      <c r="AN772" s="357"/>
      <c r="AO772" s="357"/>
      <c r="AP772" s="357"/>
      <c r="AQ772" s="357"/>
      <c r="AR772" s="357"/>
      <c r="AS772" s="357"/>
      <c r="AT772" s="357"/>
      <c r="AU772" s="357"/>
      <c r="AV772" s="357"/>
      <c r="AW772" s="357"/>
      <c r="AX772" s="357"/>
      <c r="AY772" s="357"/>
      <c r="AZ772" s="357"/>
      <c r="BA772" s="357"/>
      <c r="BB772" s="357"/>
      <c r="BC772" s="357"/>
      <c r="BD772" s="357"/>
    </row>
    <row r="773" spans="7:56">
      <c r="G773" s="357"/>
      <c r="H773" s="357"/>
      <c r="I773" s="357"/>
      <c r="J773" s="357"/>
      <c r="K773" s="357"/>
      <c r="L773" s="357"/>
      <c r="M773" s="357"/>
      <c r="N773" s="357"/>
      <c r="O773" s="357"/>
      <c r="P773" s="357"/>
      <c r="Q773" s="357"/>
      <c r="R773" s="357"/>
      <c r="S773" s="357"/>
      <c r="T773" s="357"/>
      <c r="U773" s="357"/>
      <c r="V773" s="357"/>
      <c r="W773" s="357"/>
      <c r="X773" s="357"/>
      <c r="Y773" s="357"/>
      <c r="Z773" s="357"/>
      <c r="AA773" s="357"/>
      <c r="AB773" s="357"/>
      <c r="AC773" s="357"/>
      <c r="AD773" s="357"/>
      <c r="AE773" s="357"/>
      <c r="AF773" s="357"/>
      <c r="AG773" s="357"/>
      <c r="AH773" s="357"/>
      <c r="AI773" s="357"/>
      <c r="AJ773" s="357"/>
      <c r="AK773" s="357"/>
      <c r="AL773" s="357"/>
      <c r="AM773" s="357"/>
      <c r="AN773" s="357"/>
      <c r="AO773" s="357"/>
      <c r="AP773" s="357"/>
      <c r="AQ773" s="357"/>
      <c r="AR773" s="357"/>
      <c r="AS773" s="357"/>
      <c r="AT773" s="357"/>
      <c r="AU773" s="357"/>
      <c r="AV773" s="357"/>
      <c r="AW773" s="357"/>
      <c r="AX773" s="357"/>
      <c r="AY773" s="357"/>
      <c r="AZ773" s="357"/>
      <c r="BA773" s="357"/>
      <c r="BB773" s="357"/>
      <c r="BC773" s="357"/>
      <c r="BD773" s="357"/>
    </row>
    <row r="774" spans="7:56">
      <c r="G774" s="357"/>
      <c r="H774" s="357"/>
      <c r="I774" s="357"/>
      <c r="J774" s="357"/>
      <c r="K774" s="357"/>
      <c r="L774" s="357"/>
      <c r="M774" s="357"/>
      <c r="N774" s="357"/>
      <c r="O774" s="357"/>
      <c r="P774" s="357"/>
      <c r="Q774" s="357"/>
      <c r="R774" s="357"/>
      <c r="S774" s="357"/>
      <c r="T774" s="357"/>
      <c r="U774" s="357"/>
      <c r="V774" s="357"/>
      <c r="W774" s="357"/>
      <c r="X774" s="357"/>
      <c r="Y774" s="357"/>
      <c r="Z774" s="357"/>
      <c r="AA774" s="357"/>
      <c r="AB774" s="357"/>
      <c r="AC774" s="357"/>
      <c r="AD774" s="357"/>
      <c r="AE774" s="357"/>
      <c r="AF774" s="357"/>
      <c r="AG774" s="357"/>
      <c r="AH774" s="357"/>
      <c r="AI774" s="357"/>
      <c r="AJ774" s="357"/>
      <c r="AK774" s="357"/>
      <c r="AL774" s="357"/>
      <c r="AM774" s="357"/>
      <c r="AN774" s="357"/>
      <c r="AO774" s="357"/>
      <c r="AP774" s="357"/>
      <c r="AQ774" s="357"/>
      <c r="AR774" s="357"/>
      <c r="AS774" s="357"/>
      <c r="AT774" s="357"/>
      <c r="AU774" s="357"/>
      <c r="AV774" s="357"/>
      <c r="AW774" s="357"/>
      <c r="AX774" s="357"/>
      <c r="AY774" s="357"/>
      <c r="AZ774" s="357"/>
      <c r="BA774" s="357"/>
      <c r="BB774" s="357"/>
      <c r="BC774" s="357"/>
      <c r="BD774" s="357"/>
    </row>
    <row r="775" spans="7:56">
      <c r="G775" s="357"/>
      <c r="H775" s="357"/>
      <c r="I775" s="357"/>
      <c r="J775" s="357"/>
      <c r="K775" s="357"/>
      <c r="L775" s="357"/>
      <c r="M775" s="357"/>
      <c r="N775" s="357"/>
      <c r="O775" s="357"/>
      <c r="P775" s="357"/>
      <c r="Q775" s="357"/>
      <c r="R775" s="357"/>
      <c r="S775" s="357"/>
      <c r="T775" s="357"/>
      <c r="U775" s="357"/>
      <c r="V775" s="357"/>
      <c r="W775" s="357"/>
      <c r="X775" s="357"/>
      <c r="Y775" s="357"/>
      <c r="Z775" s="357"/>
      <c r="AA775" s="357"/>
      <c r="AB775" s="357"/>
      <c r="AC775" s="357"/>
      <c r="AD775" s="357"/>
      <c r="AE775" s="357"/>
      <c r="AF775" s="357"/>
      <c r="AG775" s="357"/>
      <c r="AH775" s="357"/>
      <c r="AI775" s="357"/>
      <c r="AJ775" s="357"/>
      <c r="AK775" s="357"/>
      <c r="AL775" s="357"/>
      <c r="AM775" s="357"/>
      <c r="AN775" s="357"/>
      <c r="AO775" s="357"/>
      <c r="AP775" s="357"/>
      <c r="AQ775" s="357"/>
      <c r="AR775" s="357"/>
      <c r="AS775" s="357"/>
      <c r="AT775" s="357"/>
      <c r="AU775" s="357"/>
      <c r="AV775" s="357"/>
      <c r="AW775" s="357"/>
      <c r="AX775" s="357"/>
      <c r="AY775" s="357"/>
      <c r="AZ775" s="357"/>
      <c r="BA775" s="357"/>
      <c r="BB775" s="357"/>
      <c r="BC775" s="357"/>
      <c r="BD775" s="357"/>
    </row>
    <row r="776" spans="7:56">
      <c r="G776" s="357"/>
      <c r="H776" s="357"/>
      <c r="I776" s="357"/>
      <c r="J776" s="357"/>
      <c r="K776" s="357"/>
      <c r="L776" s="357"/>
      <c r="M776" s="357"/>
      <c r="N776" s="357"/>
      <c r="O776" s="357"/>
      <c r="P776" s="357"/>
      <c r="Q776" s="357"/>
      <c r="R776" s="357"/>
      <c r="S776" s="357"/>
      <c r="T776" s="357"/>
      <c r="U776" s="357"/>
      <c r="V776" s="357"/>
      <c r="W776" s="357"/>
      <c r="X776" s="357"/>
      <c r="Y776" s="357"/>
      <c r="Z776" s="357"/>
      <c r="AA776" s="357"/>
      <c r="AB776" s="357"/>
      <c r="AC776" s="357"/>
      <c r="AD776" s="357"/>
      <c r="AE776" s="357"/>
      <c r="AF776" s="357"/>
      <c r="AG776" s="357"/>
      <c r="AH776" s="357"/>
      <c r="AI776" s="357"/>
      <c r="AJ776" s="357"/>
      <c r="AK776" s="357"/>
      <c r="AL776" s="357"/>
      <c r="AM776" s="357"/>
      <c r="AN776" s="357"/>
      <c r="AO776" s="357"/>
      <c r="AP776" s="357"/>
      <c r="AQ776" s="357"/>
      <c r="AR776" s="357"/>
      <c r="AS776" s="357"/>
      <c r="AT776" s="357"/>
      <c r="AU776" s="357"/>
      <c r="AV776" s="357"/>
      <c r="AW776" s="357"/>
      <c r="AX776" s="357"/>
      <c r="AY776" s="357"/>
      <c r="AZ776" s="357"/>
      <c r="BA776" s="357"/>
      <c r="BB776" s="357"/>
      <c r="BC776" s="357"/>
      <c r="BD776" s="357"/>
    </row>
    <row r="777" spans="7:56">
      <c r="G777" s="357"/>
      <c r="H777" s="357"/>
      <c r="I777" s="357"/>
      <c r="J777" s="357"/>
      <c r="K777" s="357"/>
      <c r="L777" s="357"/>
      <c r="M777" s="357"/>
      <c r="N777" s="357"/>
      <c r="O777" s="357"/>
      <c r="P777" s="357"/>
      <c r="Q777" s="357"/>
      <c r="R777" s="357"/>
      <c r="S777" s="357"/>
      <c r="T777" s="357"/>
      <c r="U777" s="357"/>
      <c r="V777" s="357"/>
      <c r="W777" s="357"/>
      <c r="X777" s="357"/>
      <c r="Y777" s="357"/>
      <c r="Z777" s="357"/>
      <c r="AA777" s="357"/>
      <c r="AB777" s="357"/>
      <c r="AC777" s="357"/>
      <c r="AD777" s="357"/>
      <c r="AE777" s="357"/>
      <c r="AF777" s="357"/>
      <c r="AG777" s="357"/>
      <c r="AH777" s="357"/>
      <c r="AI777" s="357"/>
      <c r="AJ777" s="357"/>
      <c r="AK777" s="357"/>
      <c r="AL777" s="357"/>
      <c r="AM777" s="357"/>
      <c r="AN777" s="357"/>
      <c r="AO777" s="357"/>
      <c r="AP777" s="357"/>
      <c r="AQ777" s="357"/>
      <c r="AR777" s="357"/>
      <c r="AS777" s="357"/>
      <c r="AT777" s="357"/>
      <c r="AU777" s="357"/>
      <c r="AV777" s="357"/>
      <c r="AW777" s="357"/>
      <c r="AX777" s="357"/>
      <c r="AY777" s="357"/>
      <c r="AZ777" s="357"/>
      <c r="BA777" s="357"/>
      <c r="BB777" s="357"/>
      <c r="BC777" s="357"/>
      <c r="BD777" s="357"/>
    </row>
    <row r="778" spans="7:56">
      <c r="G778" s="357"/>
      <c r="H778" s="357"/>
      <c r="I778" s="357"/>
      <c r="J778" s="357"/>
      <c r="K778" s="357"/>
      <c r="L778" s="357"/>
      <c r="M778" s="357"/>
      <c r="N778" s="357"/>
      <c r="O778" s="357"/>
      <c r="P778" s="357"/>
      <c r="Q778" s="357"/>
      <c r="R778" s="357"/>
      <c r="S778" s="357"/>
      <c r="T778" s="357"/>
      <c r="U778" s="357"/>
      <c r="V778" s="357"/>
      <c r="W778" s="357"/>
      <c r="X778" s="357"/>
      <c r="Y778" s="357"/>
      <c r="Z778" s="357"/>
      <c r="AA778" s="357"/>
      <c r="AB778" s="357"/>
      <c r="AC778" s="357"/>
      <c r="AD778" s="357"/>
      <c r="AE778" s="357"/>
      <c r="AF778" s="357"/>
      <c r="AG778" s="357"/>
      <c r="AH778" s="357"/>
      <c r="AI778" s="357"/>
      <c r="AJ778" s="357"/>
      <c r="AK778" s="357"/>
      <c r="AL778" s="357"/>
      <c r="AM778" s="357"/>
      <c r="AN778" s="357"/>
      <c r="AO778" s="357"/>
      <c r="AP778" s="357"/>
      <c r="AQ778" s="357"/>
      <c r="AR778" s="357"/>
      <c r="AS778" s="357"/>
      <c r="AT778" s="357"/>
      <c r="AU778" s="357"/>
      <c r="AV778" s="357"/>
      <c r="AW778" s="357"/>
      <c r="AX778" s="357"/>
      <c r="AY778" s="357"/>
      <c r="AZ778" s="357"/>
      <c r="BA778" s="357"/>
      <c r="BB778" s="357"/>
      <c r="BC778" s="357"/>
      <c r="BD778" s="357"/>
    </row>
    <row r="779" spans="7:56">
      <c r="G779" s="357"/>
      <c r="H779" s="357"/>
      <c r="I779" s="357"/>
      <c r="J779" s="357"/>
      <c r="K779" s="357"/>
      <c r="L779" s="357"/>
      <c r="M779" s="357"/>
      <c r="N779" s="357"/>
      <c r="O779" s="357"/>
      <c r="P779" s="357"/>
      <c r="Q779" s="357"/>
      <c r="R779" s="357"/>
      <c r="S779" s="357"/>
      <c r="T779" s="357"/>
      <c r="U779" s="357"/>
      <c r="V779" s="357"/>
      <c r="W779" s="357"/>
      <c r="X779" s="357"/>
      <c r="Y779" s="357"/>
      <c r="Z779" s="357"/>
      <c r="AA779" s="357"/>
      <c r="AB779" s="357"/>
      <c r="AC779" s="357"/>
      <c r="AD779" s="357"/>
      <c r="AE779" s="357"/>
      <c r="AF779" s="357"/>
      <c r="AG779" s="357"/>
      <c r="AH779" s="357"/>
      <c r="AI779" s="357"/>
      <c r="AJ779" s="357"/>
      <c r="AK779" s="357"/>
      <c r="AL779" s="357"/>
      <c r="AM779" s="357"/>
      <c r="AN779" s="357"/>
      <c r="AO779" s="357"/>
      <c r="AP779" s="357"/>
      <c r="AQ779" s="357"/>
      <c r="AR779" s="357"/>
      <c r="AS779" s="357"/>
      <c r="AT779" s="357"/>
      <c r="AU779" s="357"/>
      <c r="AV779" s="357"/>
      <c r="AW779" s="357"/>
      <c r="AX779" s="357"/>
      <c r="AY779" s="357"/>
      <c r="AZ779" s="357"/>
      <c r="BA779" s="357"/>
      <c r="BB779" s="357"/>
      <c r="BC779" s="357"/>
      <c r="BD779" s="357"/>
    </row>
    <row r="780" spans="7:56">
      <c r="G780" s="357"/>
      <c r="H780" s="357"/>
      <c r="I780" s="357"/>
      <c r="J780" s="357"/>
      <c r="K780" s="357"/>
      <c r="L780" s="357"/>
      <c r="M780" s="357"/>
      <c r="N780" s="357"/>
      <c r="O780" s="357"/>
      <c r="P780" s="357"/>
      <c r="Q780" s="357"/>
      <c r="R780" s="357"/>
      <c r="S780" s="357"/>
      <c r="T780" s="357"/>
      <c r="U780" s="357"/>
      <c r="V780" s="357"/>
      <c r="W780" s="357"/>
      <c r="X780" s="357"/>
      <c r="Y780" s="357"/>
      <c r="Z780" s="357"/>
      <c r="AA780" s="357"/>
      <c r="AB780" s="357"/>
      <c r="AC780" s="357"/>
      <c r="AD780" s="357"/>
      <c r="AE780" s="357"/>
      <c r="AF780" s="357"/>
      <c r="AG780" s="357"/>
      <c r="AH780" s="357"/>
      <c r="AI780" s="357"/>
      <c r="AJ780" s="357"/>
      <c r="AK780" s="357"/>
      <c r="AL780" s="357"/>
      <c r="AM780" s="357"/>
      <c r="AN780" s="357"/>
      <c r="AO780" s="357"/>
      <c r="AP780" s="357"/>
      <c r="AQ780" s="357"/>
      <c r="AR780" s="357"/>
      <c r="AS780" s="357"/>
      <c r="AT780" s="357"/>
      <c r="AU780" s="357"/>
      <c r="AV780" s="357"/>
      <c r="AW780" s="357"/>
      <c r="AX780" s="357"/>
      <c r="AY780" s="357"/>
      <c r="AZ780" s="357"/>
      <c r="BA780" s="357"/>
      <c r="BB780" s="357"/>
      <c r="BC780" s="357"/>
      <c r="BD780" s="357"/>
    </row>
    <row r="781" spans="7:56">
      <c r="G781" s="357"/>
      <c r="H781" s="357"/>
      <c r="I781" s="357"/>
      <c r="J781" s="357"/>
      <c r="K781" s="357"/>
      <c r="L781" s="357"/>
      <c r="M781" s="357"/>
      <c r="N781" s="357"/>
      <c r="O781" s="357"/>
      <c r="P781" s="357"/>
      <c r="Q781" s="357"/>
      <c r="R781" s="357"/>
      <c r="S781" s="357"/>
      <c r="T781" s="357"/>
      <c r="U781" s="357"/>
      <c r="V781" s="357"/>
      <c r="W781" s="357"/>
      <c r="X781" s="357"/>
      <c r="Y781" s="357"/>
      <c r="Z781" s="357"/>
      <c r="AA781" s="357"/>
      <c r="AB781" s="357"/>
      <c r="AC781" s="357"/>
      <c r="AD781" s="357"/>
      <c r="AE781" s="357"/>
      <c r="AF781" s="357"/>
      <c r="AG781" s="357"/>
      <c r="AH781" s="357"/>
      <c r="AI781" s="357"/>
      <c r="AJ781" s="357"/>
      <c r="AK781" s="357"/>
      <c r="AL781" s="357"/>
      <c r="AM781" s="357"/>
      <c r="AN781" s="357"/>
      <c r="AO781" s="357"/>
      <c r="AP781" s="357"/>
      <c r="AQ781" s="357"/>
      <c r="AR781" s="357"/>
      <c r="AS781" s="357"/>
      <c r="AT781" s="357"/>
      <c r="AU781" s="357"/>
      <c r="AV781" s="357"/>
      <c r="AW781" s="357"/>
      <c r="AX781" s="357"/>
      <c r="AY781" s="357"/>
      <c r="AZ781" s="357"/>
      <c r="BA781" s="357"/>
      <c r="BB781" s="357"/>
      <c r="BC781" s="357"/>
      <c r="BD781" s="357"/>
    </row>
    <row r="782" spans="7:56">
      <c r="G782" s="357"/>
      <c r="H782" s="357"/>
      <c r="I782" s="357"/>
      <c r="J782" s="357"/>
      <c r="K782" s="357"/>
      <c r="L782" s="357"/>
      <c r="M782" s="357"/>
      <c r="N782" s="357"/>
      <c r="O782" s="357"/>
      <c r="P782" s="357"/>
      <c r="Q782" s="357"/>
      <c r="R782" s="357"/>
      <c r="S782" s="357"/>
      <c r="T782" s="357"/>
      <c r="U782" s="357"/>
      <c r="V782" s="357"/>
      <c r="W782" s="357"/>
      <c r="X782" s="357"/>
      <c r="Y782" s="357"/>
      <c r="Z782" s="357"/>
      <c r="AA782" s="357"/>
      <c r="AB782" s="357"/>
      <c r="AC782" s="357"/>
      <c r="AD782" s="357"/>
      <c r="AE782" s="357"/>
      <c r="AF782" s="357"/>
      <c r="AG782" s="357"/>
      <c r="AH782" s="357"/>
      <c r="AI782" s="357"/>
      <c r="AJ782" s="357"/>
      <c r="AK782" s="357"/>
      <c r="AL782" s="357"/>
      <c r="AM782" s="357"/>
      <c r="AN782" s="357"/>
      <c r="AO782" s="357"/>
      <c r="AP782" s="357"/>
      <c r="AQ782" s="357"/>
      <c r="AR782" s="357"/>
      <c r="AS782" s="357"/>
      <c r="AT782" s="357"/>
      <c r="AU782" s="357"/>
      <c r="AV782" s="357"/>
      <c r="AW782" s="357"/>
      <c r="AX782" s="357"/>
      <c r="AY782" s="357"/>
      <c r="AZ782" s="357"/>
      <c r="BA782" s="357"/>
      <c r="BB782" s="357"/>
      <c r="BC782" s="357"/>
      <c r="BD782" s="357"/>
    </row>
    <row r="783" spans="7:56">
      <c r="G783" s="357"/>
      <c r="H783" s="357"/>
      <c r="I783" s="357"/>
      <c r="J783" s="357"/>
      <c r="K783" s="357"/>
      <c r="L783" s="357"/>
      <c r="M783" s="357"/>
      <c r="N783" s="357"/>
      <c r="O783" s="357"/>
      <c r="P783" s="357"/>
      <c r="Q783" s="357"/>
      <c r="R783" s="357"/>
      <c r="S783" s="357"/>
      <c r="T783" s="357"/>
      <c r="U783" s="357"/>
      <c r="V783" s="357"/>
      <c r="W783" s="357"/>
      <c r="X783" s="357"/>
      <c r="Y783" s="357"/>
      <c r="Z783" s="357"/>
      <c r="AA783" s="357"/>
      <c r="AB783" s="357"/>
      <c r="AC783" s="357"/>
      <c r="AD783" s="357"/>
      <c r="AE783" s="357"/>
      <c r="AF783" s="357"/>
      <c r="AG783" s="357"/>
      <c r="AH783" s="357"/>
      <c r="AI783" s="357"/>
      <c r="AJ783" s="357"/>
      <c r="AK783" s="357"/>
      <c r="AL783" s="357"/>
      <c r="AM783" s="357"/>
      <c r="AN783" s="357"/>
      <c r="AO783" s="357"/>
      <c r="AP783" s="357"/>
      <c r="AQ783" s="357"/>
      <c r="AR783" s="357"/>
      <c r="AS783" s="357"/>
      <c r="AT783" s="357"/>
      <c r="AU783" s="357"/>
      <c r="AV783" s="357"/>
      <c r="AW783" s="357"/>
      <c r="AX783" s="357"/>
      <c r="AY783" s="357"/>
      <c r="AZ783" s="357"/>
      <c r="BA783" s="357"/>
      <c r="BB783" s="357"/>
      <c r="BC783" s="357"/>
      <c r="BD783" s="357"/>
    </row>
    <row r="784" spans="7:56">
      <c r="G784" s="357"/>
      <c r="H784" s="357"/>
      <c r="I784" s="357"/>
      <c r="J784" s="357"/>
      <c r="K784" s="357"/>
      <c r="L784" s="357"/>
      <c r="M784" s="357"/>
      <c r="N784" s="357"/>
      <c r="O784" s="357"/>
      <c r="P784" s="357"/>
      <c r="Q784" s="357"/>
      <c r="R784" s="357"/>
      <c r="S784" s="357"/>
      <c r="T784" s="357"/>
      <c r="U784" s="357"/>
      <c r="V784" s="357"/>
      <c r="W784" s="357"/>
      <c r="X784" s="357"/>
      <c r="Y784" s="357"/>
      <c r="Z784" s="357"/>
      <c r="AA784" s="357"/>
      <c r="AB784" s="357"/>
      <c r="AC784" s="357"/>
      <c r="AD784" s="357"/>
      <c r="AE784" s="357"/>
      <c r="AF784" s="357"/>
      <c r="AG784" s="357"/>
      <c r="AH784" s="357"/>
      <c r="AI784" s="357"/>
      <c r="AJ784" s="357"/>
      <c r="AK784" s="357"/>
      <c r="AL784" s="357"/>
      <c r="AM784" s="357"/>
      <c r="AN784" s="357"/>
      <c r="AO784" s="357"/>
      <c r="AP784" s="357"/>
      <c r="AQ784" s="357"/>
      <c r="AR784" s="357"/>
      <c r="AS784" s="357"/>
      <c r="AT784" s="357"/>
      <c r="AU784" s="357"/>
      <c r="AV784" s="357"/>
      <c r="AW784" s="357"/>
      <c r="AX784" s="357"/>
      <c r="AY784" s="357"/>
      <c r="AZ784" s="357"/>
      <c r="BA784" s="357"/>
      <c r="BB784" s="357"/>
      <c r="BC784" s="357"/>
      <c r="BD784" s="357"/>
    </row>
    <row r="785" spans="7:56">
      <c r="G785" s="357"/>
      <c r="H785" s="357"/>
      <c r="I785" s="357"/>
      <c r="J785" s="357"/>
      <c r="K785" s="357"/>
      <c r="L785" s="357"/>
      <c r="M785" s="357"/>
      <c r="N785" s="357"/>
      <c r="O785" s="357"/>
      <c r="P785" s="357"/>
      <c r="Q785" s="357"/>
      <c r="R785" s="357"/>
      <c r="S785" s="357"/>
      <c r="T785" s="357"/>
      <c r="U785" s="357"/>
      <c r="V785" s="357"/>
      <c r="W785" s="357"/>
      <c r="X785" s="357"/>
      <c r="Y785" s="357"/>
      <c r="Z785" s="357"/>
      <c r="AA785" s="357"/>
      <c r="AB785" s="357"/>
      <c r="AC785" s="357"/>
      <c r="AD785" s="357"/>
      <c r="AE785" s="357"/>
      <c r="AF785" s="357"/>
      <c r="AG785" s="357"/>
      <c r="AH785" s="357"/>
      <c r="AI785" s="357"/>
      <c r="AJ785" s="357"/>
      <c r="AK785" s="357"/>
      <c r="AL785" s="357"/>
      <c r="AM785" s="357"/>
      <c r="AN785" s="357"/>
      <c r="AO785" s="357"/>
      <c r="AP785" s="357"/>
      <c r="AQ785" s="357"/>
      <c r="AR785" s="357"/>
      <c r="AS785" s="357"/>
      <c r="AT785" s="357"/>
      <c r="AU785" s="357"/>
      <c r="AV785" s="357"/>
      <c r="AW785" s="357"/>
      <c r="AX785" s="357"/>
      <c r="AY785" s="357"/>
      <c r="AZ785" s="357"/>
      <c r="BA785" s="357"/>
      <c r="BB785" s="357"/>
      <c r="BC785" s="357"/>
      <c r="BD785" s="357"/>
    </row>
    <row r="786" spans="7:56">
      <c r="G786" s="357"/>
      <c r="H786" s="357"/>
      <c r="I786" s="357"/>
      <c r="J786" s="357"/>
      <c r="K786" s="357"/>
      <c r="L786" s="357"/>
      <c r="M786" s="357"/>
      <c r="N786" s="357"/>
      <c r="O786" s="357"/>
      <c r="P786" s="357"/>
      <c r="Q786" s="357"/>
      <c r="R786" s="357"/>
      <c r="S786" s="357"/>
      <c r="T786" s="357"/>
      <c r="U786" s="357"/>
      <c r="V786" s="357"/>
      <c r="W786" s="357"/>
      <c r="X786" s="357"/>
      <c r="Y786" s="357"/>
      <c r="Z786" s="357"/>
      <c r="AA786" s="357"/>
      <c r="AB786" s="357"/>
      <c r="AC786" s="357"/>
      <c r="AD786" s="357"/>
      <c r="AE786" s="357"/>
      <c r="AF786" s="357"/>
      <c r="AG786" s="357"/>
      <c r="AH786" s="357"/>
      <c r="AI786" s="357"/>
      <c r="AJ786" s="357"/>
      <c r="AK786" s="357"/>
      <c r="AL786" s="357"/>
      <c r="AM786" s="357"/>
      <c r="AN786" s="357"/>
      <c r="AO786" s="357"/>
      <c r="AP786" s="357"/>
      <c r="AQ786" s="357"/>
      <c r="AR786" s="357"/>
      <c r="AS786" s="357"/>
      <c r="AT786" s="357"/>
      <c r="AU786" s="357"/>
      <c r="AV786" s="357"/>
      <c r="AW786" s="357"/>
      <c r="AX786" s="357"/>
      <c r="AY786" s="357"/>
      <c r="AZ786" s="357"/>
      <c r="BA786" s="357"/>
      <c r="BB786" s="357"/>
      <c r="BC786" s="357"/>
      <c r="BD786" s="357"/>
    </row>
    <row r="787" spans="7:56">
      <c r="G787" s="357"/>
      <c r="H787" s="357"/>
      <c r="I787" s="357"/>
      <c r="J787" s="357"/>
      <c r="K787" s="357"/>
      <c r="L787" s="357"/>
      <c r="M787" s="357"/>
      <c r="N787" s="357"/>
      <c r="O787" s="357"/>
      <c r="P787" s="357"/>
      <c r="Q787" s="357"/>
      <c r="R787" s="357"/>
      <c r="S787" s="357"/>
      <c r="T787" s="357"/>
      <c r="U787" s="357"/>
      <c r="V787" s="357"/>
      <c r="W787" s="357"/>
      <c r="X787" s="357"/>
      <c r="Y787" s="357"/>
      <c r="Z787" s="357"/>
      <c r="AA787" s="357"/>
      <c r="AB787" s="357"/>
      <c r="AC787" s="357"/>
      <c r="AD787" s="357"/>
      <c r="AE787" s="357"/>
      <c r="AF787" s="357"/>
      <c r="AG787" s="357"/>
      <c r="AH787" s="357"/>
      <c r="AI787" s="357"/>
      <c r="AJ787" s="357"/>
      <c r="AK787" s="357"/>
      <c r="AL787" s="357"/>
      <c r="AM787" s="357"/>
      <c r="AN787" s="357"/>
      <c r="AO787" s="357"/>
      <c r="AP787" s="357"/>
      <c r="AQ787" s="357"/>
      <c r="AR787" s="357"/>
      <c r="AS787" s="357"/>
      <c r="AT787" s="357"/>
      <c r="AU787" s="357"/>
      <c r="AV787" s="357"/>
      <c r="AW787" s="357"/>
      <c r="AX787" s="357"/>
      <c r="AY787" s="357"/>
      <c r="AZ787" s="357"/>
      <c r="BA787" s="357"/>
      <c r="BB787" s="357"/>
      <c r="BC787" s="357"/>
      <c r="BD787" s="357"/>
    </row>
    <row r="788" spans="7:56">
      <c r="G788" s="357"/>
      <c r="H788" s="357"/>
      <c r="I788" s="357"/>
      <c r="J788" s="357"/>
      <c r="K788" s="357"/>
      <c r="L788" s="357"/>
      <c r="M788" s="357"/>
      <c r="N788" s="357"/>
      <c r="O788" s="357"/>
      <c r="P788" s="357"/>
      <c r="Q788" s="357"/>
      <c r="R788" s="357"/>
      <c r="S788" s="357"/>
      <c r="T788" s="357"/>
      <c r="U788" s="357"/>
      <c r="V788" s="357"/>
      <c r="W788" s="357"/>
      <c r="X788" s="357"/>
      <c r="Y788" s="357"/>
      <c r="Z788" s="357"/>
      <c r="AA788" s="357"/>
      <c r="AB788" s="357"/>
      <c r="AC788" s="357"/>
      <c r="AD788" s="357"/>
      <c r="AE788" s="357"/>
      <c r="AF788" s="357"/>
      <c r="AG788" s="357"/>
      <c r="AH788" s="357"/>
      <c r="AI788" s="357"/>
      <c r="AJ788" s="357"/>
      <c r="AK788" s="357"/>
      <c r="AL788" s="357"/>
      <c r="AM788" s="357"/>
      <c r="AN788" s="357"/>
      <c r="AO788" s="357"/>
      <c r="AP788" s="357"/>
      <c r="AQ788" s="357"/>
      <c r="AR788" s="357"/>
      <c r="AS788" s="357"/>
      <c r="AT788" s="357"/>
      <c r="AU788" s="357"/>
      <c r="AV788" s="357"/>
      <c r="AW788" s="357"/>
      <c r="AX788" s="357"/>
      <c r="AY788" s="357"/>
      <c r="AZ788" s="357"/>
      <c r="BA788" s="357"/>
      <c r="BB788" s="357"/>
      <c r="BC788" s="357"/>
      <c r="BD788" s="357"/>
    </row>
    <row r="789" spans="7:56">
      <c r="G789" s="357"/>
      <c r="H789" s="357"/>
      <c r="I789" s="357"/>
      <c r="J789" s="357"/>
      <c r="K789" s="357"/>
      <c r="L789" s="357"/>
      <c r="M789" s="357"/>
      <c r="N789" s="357"/>
      <c r="O789" s="357"/>
      <c r="P789" s="357"/>
      <c r="Q789" s="357"/>
      <c r="R789" s="357"/>
      <c r="S789" s="357"/>
      <c r="T789" s="357"/>
      <c r="U789" s="357"/>
      <c r="V789" s="357"/>
      <c r="W789" s="357"/>
      <c r="X789" s="357"/>
      <c r="Y789" s="357"/>
      <c r="Z789" s="357"/>
      <c r="AA789" s="357"/>
      <c r="AB789" s="357"/>
      <c r="AC789" s="357"/>
      <c r="AD789" s="357"/>
      <c r="AE789" s="357"/>
      <c r="AF789" s="357"/>
      <c r="AG789" s="357"/>
      <c r="AH789" s="357"/>
      <c r="AI789" s="357"/>
      <c r="AJ789" s="357"/>
      <c r="AK789" s="357"/>
      <c r="AL789" s="357"/>
      <c r="AM789" s="357"/>
      <c r="AN789" s="357"/>
      <c r="AO789" s="357"/>
      <c r="AP789" s="357"/>
      <c r="AQ789" s="357"/>
      <c r="AR789" s="357"/>
      <c r="AS789" s="357"/>
      <c r="AT789" s="357"/>
      <c r="AU789" s="357"/>
      <c r="AV789" s="357"/>
      <c r="AW789" s="357"/>
      <c r="AX789" s="357"/>
      <c r="AY789" s="357"/>
      <c r="AZ789" s="357"/>
      <c r="BA789" s="357"/>
      <c r="BB789" s="357"/>
      <c r="BC789" s="357"/>
      <c r="BD789" s="357"/>
    </row>
    <row r="790" spans="7:56">
      <c r="G790" s="357"/>
      <c r="H790" s="357"/>
      <c r="I790" s="357"/>
      <c r="J790" s="357"/>
      <c r="K790" s="357"/>
      <c r="L790" s="357"/>
      <c r="M790" s="357"/>
      <c r="N790" s="357"/>
      <c r="O790" s="357"/>
      <c r="P790" s="357"/>
      <c r="Q790" s="357"/>
      <c r="R790" s="357"/>
      <c r="S790" s="357"/>
      <c r="T790" s="357"/>
      <c r="U790" s="357"/>
      <c r="V790" s="357"/>
      <c r="W790" s="357"/>
      <c r="X790" s="357"/>
      <c r="Y790" s="357"/>
      <c r="Z790" s="357"/>
      <c r="AA790" s="357"/>
      <c r="AB790" s="357"/>
      <c r="AC790" s="357"/>
      <c r="AD790" s="357"/>
      <c r="AE790" s="357"/>
      <c r="AF790" s="357"/>
      <c r="AG790" s="357"/>
      <c r="AH790" s="357"/>
      <c r="AI790" s="357"/>
      <c r="AJ790" s="357"/>
      <c r="AK790" s="357"/>
      <c r="AL790" s="357"/>
      <c r="AM790" s="357"/>
      <c r="AN790" s="357"/>
      <c r="AO790" s="357"/>
      <c r="AP790" s="357"/>
      <c r="AQ790" s="357"/>
      <c r="AR790" s="357"/>
      <c r="AS790" s="357"/>
      <c r="AT790" s="357"/>
      <c r="AU790" s="357"/>
      <c r="AV790" s="357"/>
      <c r="AW790" s="357"/>
      <c r="AX790" s="357"/>
      <c r="AY790" s="357"/>
      <c r="AZ790" s="357"/>
      <c r="BA790" s="357"/>
      <c r="BB790" s="357"/>
      <c r="BC790" s="357"/>
      <c r="BD790" s="357"/>
    </row>
    <row r="791" spans="7:56">
      <c r="G791" s="357"/>
      <c r="H791" s="357"/>
      <c r="I791" s="357"/>
      <c r="J791" s="357"/>
      <c r="K791" s="357"/>
      <c r="L791" s="357"/>
      <c r="M791" s="357"/>
      <c r="N791" s="357"/>
      <c r="O791" s="357"/>
      <c r="P791" s="357"/>
      <c r="Q791" s="357"/>
      <c r="R791" s="357"/>
      <c r="S791" s="357"/>
      <c r="T791" s="357"/>
      <c r="U791" s="357"/>
      <c r="V791" s="357"/>
      <c r="W791" s="357"/>
      <c r="X791" s="357"/>
      <c r="Y791" s="357"/>
      <c r="Z791" s="357"/>
      <c r="AA791" s="357"/>
      <c r="AB791" s="357"/>
      <c r="AC791" s="357"/>
      <c r="AD791" s="357"/>
      <c r="AE791" s="357"/>
      <c r="AF791" s="357"/>
      <c r="AG791" s="357"/>
      <c r="AH791" s="357"/>
      <c r="AI791" s="357"/>
      <c r="AJ791" s="357"/>
      <c r="AK791" s="357"/>
      <c r="AL791" s="357"/>
      <c r="AM791" s="357"/>
      <c r="AN791" s="357"/>
      <c r="AO791" s="357"/>
      <c r="AP791" s="357"/>
      <c r="AQ791" s="357"/>
      <c r="AR791" s="357"/>
      <c r="AS791" s="357"/>
      <c r="AT791" s="357"/>
      <c r="AU791" s="357"/>
      <c r="AV791" s="357"/>
      <c r="AW791" s="357"/>
      <c r="AX791" s="357"/>
      <c r="AY791" s="357"/>
      <c r="AZ791" s="357"/>
      <c r="BA791" s="357"/>
      <c r="BB791" s="357"/>
      <c r="BC791" s="357"/>
      <c r="BD791" s="357"/>
    </row>
    <row r="792" spans="7:56">
      <c r="G792" s="357"/>
      <c r="H792" s="357"/>
      <c r="I792" s="357"/>
      <c r="J792" s="357"/>
      <c r="K792" s="357"/>
      <c r="L792" s="357"/>
      <c r="M792" s="357"/>
      <c r="N792" s="357"/>
      <c r="O792" s="357"/>
      <c r="P792" s="357"/>
      <c r="Q792" s="357"/>
      <c r="R792" s="357"/>
      <c r="S792" s="357"/>
      <c r="T792" s="357"/>
      <c r="U792" s="357"/>
      <c r="V792" s="357"/>
      <c r="W792" s="357"/>
      <c r="X792" s="357"/>
      <c r="Y792" s="357"/>
      <c r="Z792" s="357"/>
      <c r="AA792" s="357"/>
      <c r="AB792" s="357"/>
      <c r="AC792" s="357"/>
      <c r="AD792" s="357"/>
      <c r="AE792" s="357"/>
      <c r="AF792" s="357"/>
      <c r="AG792" s="357"/>
      <c r="AH792" s="357"/>
      <c r="AI792" s="357"/>
      <c r="AJ792" s="357"/>
      <c r="AK792" s="357"/>
      <c r="AL792" s="357"/>
      <c r="AM792" s="357"/>
      <c r="AN792" s="357"/>
      <c r="AO792" s="357"/>
      <c r="AP792" s="357"/>
      <c r="AQ792" s="357"/>
      <c r="AR792" s="357"/>
      <c r="AS792" s="357"/>
      <c r="AT792" s="357"/>
      <c r="AU792" s="357"/>
      <c r="AV792" s="357"/>
      <c r="AW792" s="357"/>
      <c r="AX792" s="357"/>
      <c r="AY792" s="357"/>
      <c r="AZ792" s="357"/>
      <c r="BA792" s="357"/>
      <c r="BB792" s="357"/>
      <c r="BC792" s="357"/>
      <c r="BD792" s="357"/>
    </row>
    <row r="793" spans="7:56">
      <c r="G793" s="357"/>
      <c r="H793" s="357"/>
      <c r="I793" s="357"/>
      <c r="J793" s="357"/>
      <c r="K793" s="357"/>
      <c r="L793" s="357"/>
      <c r="M793" s="357"/>
      <c r="N793" s="357"/>
      <c r="O793" s="357"/>
      <c r="P793" s="357"/>
      <c r="Q793" s="357"/>
      <c r="R793" s="357"/>
      <c r="S793" s="357"/>
      <c r="T793" s="357"/>
      <c r="U793" s="357"/>
      <c r="V793" s="357"/>
      <c r="W793" s="357"/>
      <c r="X793" s="357"/>
      <c r="Y793" s="357"/>
      <c r="Z793" s="357"/>
      <c r="AA793" s="357"/>
      <c r="AB793" s="357"/>
      <c r="AC793" s="357"/>
      <c r="AD793" s="357"/>
      <c r="AE793" s="357"/>
      <c r="AF793" s="357"/>
      <c r="AG793" s="357"/>
      <c r="AH793" s="357"/>
      <c r="AI793" s="357"/>
      <c r="AJ793" s="357"/>
      <c r="AK793" s="357"/>
      <c r="AL793" s="357"/>
      <c r="AM793" s="357"/>
      <c r="AN793" s="357"/>
      <c r="AO793" s="357"/>
      <c r="AP793" s="357"/>
      <c r="AQ793" s="357"/>
      <c r="AR793" s="357"/>
      <c r="AS793" s="357"/>
      <c r="AT793" s="357"/>
      <c r="AU793" s="357"/>
      <c r="AV793" s="357"/>
      <c r="AW793" s="357"/>
      <c r="AX793" s="357"/>
      <c r="AY793" s="357"/>
      <c r="AZ793" s="357"/>
      <c r="BA793" s="357"/>
      <c r="BB793" s="357"/>
      <c r="BC793" s="357"/>
      <c r="BD793" s="357"/>
    </row>
    <row r="794" spans="7:56">
      <c r="G794" s="357"/>
      <c r="H794" s="357"/>
      <c r="I794" s="357"/>
      <c r="J794" s="357"/>
      <c r="K794" s="357"/>
      <c r="L794" s="357"/>
      <c r="M794" s="357"/>
      <c r="N794" s="357"/>
      <c r="O794" s="357"/>
      <c r="P794" s="357"/>
      <c r="Q794" s="357"/>
      <c r="R794" s="357"/>
      <c r="S794" s="357"/>
      <c r="T794" s="357"/>
      <c r="U794" s="357"/>
      <c r="V794" s="357"/>
      <c r="W794" s="357"/>
      <c r="X794" s="357"/>
      <c r="Y794" s="357"/>
      <c r="Z794" s="357"/>
      <c r="AA794" s="357"/>
      <c r="AB794" s="357"/>
      <c r="AC794" s="357"/>
      <c r="AD794" s="357"/>
      <c r="AE794" s="357"/>
      <c r="AF794" s="357"/>
      <c r="AG794" s="357"/>
      <c r="AH794" s="357"/>
      <c r="AI794" s="357"/>
      <c r="AJ794" s="357"/>
      <c r="AK794" s="357"/>
      <c r="AL794" s="357"/>
      <c r="AM794" s="357"/>
      <c r="AN794" s="357"/>
      <c r="AO794" s="357"/>
      <c r="AP794" s="357"/>
      <c r="AQ794" s="357"/>
      <c r="AR794" s="357"/>
      <c r="AS794" s="357"/>
      <c r="AT794" s="357"/>
      <c r="AU794" s="357"/>
      <c r="AV794" s="357"/>
      <c r="AW794" s="357"/>
      <c r="AX794" s="357"/>
      <c r="AY794" s="357"/>
      <c r="AZ794" s="357"/>
      <c r="BA794" s="357"/>
      <c r="BB794" s="357"/>
      <c r="BC794" s="357"/>
      <c r="BD794" s="357"/>
    </row>
    <row r="795" spans="7:56">
      <c r="G795" s="357"/>
      <c r="H795" s="357"/>
      <c r="I795" s="357"/>
      <c r="J795" s="357"/>
      <c r="K795" s="357"/>
      <c r="L795" s="357"/>
      <c r="M795" s="357"/>
      <c r="N795" s="357"/>
      <c r="O795" s="357"/>
      <c r="P795" s="357"/>
      <c r="Q795" s="357"/>
      <c r="R795" s="357"/>
      <c r="S795" s="357"/>
      <c r="T795" s="357"/>
      <c r="U795" s="357"/>
      <c r="V795" s="357"/>
      <c r="W795" s="357"/>
      <c r="X795" s="357"/>
      <c r="Y795" s="357"/>
      <c r="Z795" s="357"/>
      <c r="AA795" s="357"/>
      <c r="AB795" s="357"/>
      <c r="AC795" s="357"/>
      <c r="AD795" s="357"/>
      <c r="AE795" s="357"/>
      <c r="AF795" s="357"/>
      <c r="AG795" s="357"/>
      <c r="AH795" s="357"/>
      <c r="AI795" s="357"/>
      <c r="AJ795" s="357"/>
      <c r="AK795" s="357"/>
      <c r="AL795" s="357"/>
      <c r="AM795" s="357"/>
      <c r="AN795" s="357"/>
      <c r="AO795" s="357"/>
      <c r="AP795" s="357"/>
      <c r="AQ795" s="357"/>
      <c r="AR795" s="357"/>
      <c r="AS795" s="357"/>
      <c r="AT795" s="357"/>
      <c r="AU795" s="357"/>
      <c r="AV795" s="357"/>
      <c r="AW795" s="357"/>
      <c r="AX795" s="357"/>
      <c r="AY795" s="357"/>
      <c r="AZ795" s="357"/>
      <c r="BA795" s="357"/>
      <c r="BB795" s="357"/>
      <c r="BC795" s="357"/>
      <c r="BD795" s="357"/>
    </row>
    <row r="796" spans="7:56">
      <c r="G796" s="357"/>
      <c r="H796" s="357"/>
      <c r="I796" s="357"/>
      <c r="J796" s="357"/>
      <c r="K796" s="357"/>
      <c r="L796" s="357"/>
      <c r="M796" s="357"/>
      <c r="N796" s="357"/>
      <c r="O796" s="357"/>
      <c r="P796" s="357"/>
      <c r="Q796" s="357"/>
      <c r="R796" s="357"/>
      <c r="S796" s="357"/>
      <c r="T796" s="357"/>
      <c r="U796" s="357"/>
      <c r="V796" s="357"/>
      <c r="W796" s="357"/>
      <c r="X796" s="357"/>
      <c r="Y796" s="357"/>
      <c r="Z796" s="357"/>
      <c r="AA796" s="357"/>
      <c r="AB796" s="357"/>
      <c r="AC796" s="357"/>
      <c r="AD796" s="357"/>
      <c r="AE796" s="357"/>
      <c r="AF796" s="357"/>
      <c r="AG796" s="357"/>
      <c r="AH796" s="357"/>
      <c r="AI796" s="357"/>
      <c r="AJ796" s="357"/>
      <c r="AK796" s="357"/>
      <c r="AL796" s="357"/>
      <c r="AM796" s="357"/>
      <c r="AN796" s="357"/>
      <c r="AO796" s="357"/>
      <c r="AP796" s="357"/>
      <c r="AQ796" s="357"/>
      <c r="AR796" s="357"/>
      <c r="AS796" s="357"/>
      <c r="AT796" s="357"/>
      <c r="AU796" s="357"/>
      <c r="AV796" s="357"/>
      <c r="AW796" s="357"/>
      <c r="AX796" s="357"/>
      <c r="AY796" s="357"/>
      <c r="AZ796" s="357"/>
      <c r="BA796" s="357"/>
      <c r="BB796" s="357"/>
      <c r="BC796" s="357"/>
      <c r="BD796" s="357"/>
    </row>
    <row r="797" spans="7:56">
      <c r="G797" s="357"/>
      <c r="H797" s="357"/>
      <c r="I797" s="357"/>
      <c r="J797" s="357"/>
      <c r="K797" s="357"/>
      <c r="L797" s="357"/>
      <c r="M797" s="357"/>
      <c r="N797" s="357"/>
      <c r="O797" s="357"/>
      <c r="P797" s="357"/>
      <c r="Q797" s="357"/>
      <c r="R797" s="357"/>
      <c r="S797" s="357"/>
      <c r="T797" s="357"/>
      <c r="U797" s="357"/>
      <c r="V797" s="357"/>
      <c r="W797" s="357"/>
      <c r="X797" s="357"/>
      <c r="Y797" s="357"/>
      <c r="Z797" s="357"/>
      <c r="AA797" s="357"/>
      <c r="AB797" s="357"/>
      <c r="AC797" s="357"/>
      <c r="AD797" s="357"/>
      <c r="AE797" s="357"/>
      <c r="AF797" s="357"/>
      <c r="AG797" s="357"/>
      <c r="AH797" s="357"/>
      <c r="AI797" s="357"/>
      <c r="AJ797" s="357"/>
      <c r="AK797" s="357"/>
      <c r="AL797" s="357"/>
      <c r="AM797" s="357"/>
      <c r="AN797" s="357"/>
      <c r="AO797" s="357"/>
      <c r="AP797" s="357"/>
      <c r="AQ797" s="357"/>
      <c r="AR797" s="357"/>
      <c r="AS797" s="357"/>
      <c r="AT797" s="357"/>
      <c r="AU797" s="357"/>
      <c r="AV797" s="357"/>
      <c r="AW797" s="357"/>
      <c r="AX797" s="357"/>
      <c r="AY797" s="357"/>
      <c r="AZ797" s="357"/>
      <c r="BA797" s="357"/>
      <c r="BB797" s="357"/>
      <c r="BC797" s="357"/>
      <c r="BD797" s="357"/>
    </row>
    <row r="798" spans="7:56">
      <c r="G798" s="357"/>
      <c r="H798" s="357"/>
      <c r="I798" s="357"/>
      <c r="J798" s="357"/>
      <c r="K798" s="357"/>
      <c r="L798" s="357"/>
      <c r="M798" s="357"/>
      <c r="N798" s="357"/>
      <c r="O798" s="357"/>
      <c r="P798" s="357"/>
      <c r="Q798" s="357"/>
      <c r="R798" s="357"/>
      <c r="S798" s="357"/>
      <c r="T798" s="357"/>
      <c r="U798" s="357"/>
      <c r="V798" s="357"/>
      <c r="W798" s="357"/>
      <c r="X798" s="357"/>
      <c r="Y798" s="357"/>
      <c r="Z798" s="357"/>
      <c r="AA798" s="357"/>
      <c r="AB798" s="357"/>
      <c r="AC798" s="357"/>
      <c r="AD798" s="357"/>
      <c r="AE798" s="357"/>
      <c r="AF798" s="357"/>
      <c r="AG798" s="357"/>
      <c r="AH798" s="357"/>
      <c r="AI798" s="357"/>
      <c r="AJ798" s="357"/>
      <c r="AK798" s="357"/>
      <c r="AL798" s="357"/>
      <c r="AM798" s="357"/>
      <c r="AN798" s="357"/>
      <c r="AO798" s="357"/>
      <c r="AP798" s="357"/>
      <c r="AQ798" s="357"/>
      <c r="AR798" s="357"/>
      <c r="AS798" s="357"/>
      <c r="AT798" s="357"/>
      <c r="AU798" s="357"/>
      <c r="AV798" s="357"/>
      <c r="AW798" s="357"/>
      <c r="AX798" s="357"/>
      <c r="AY798" s="357"/>
      <c r="AZ798" s="357"/>
      <c r="BA798" s="357"/>
      <c r="BB798" s="357"/>
      <c r="BC798" s="357"/>
      <c r="BD798" s="357"/>
    </row>
    <row r="799" spans="7:56">
      <c r="G799" s="357"/>
      <c r="H799" s="357"/>
      <c r="I799" s="357"/>
      <c r="J799" s="357"/>
      <c r="K799" s="357"/>
      <c r="L799" s="357"/>
      <c r="M799" s="357"/>
      <c r="N799" s="357"/>
      <c r="O799" s="357"/>
      <c r="P799" s="357"/>
      <c r="Q799" s="357"/>
      <c r="R799" s="357"/>
      <c r="S799" s="357"/>
      <c r="T799" s="357"/>
      <c r="U799" s="357"/>
      <c r="V799" s="357"/>
      <c r="W799" s="357"/>
      <c r="X799" s="357"/>
      <c r="Y799" s="357"/>
      <c r="Z799" s="357"/>
      <c r="AA799" s="357"/>
      <c r="AB799" s="357"/>
      <c r="AC799" s="357"/>
      <c r="AD799" s="357"/>
      <c r="AE799" s="357"/>
      <c r="AF799" s="357"/>
      <c r="AG799" s="357"/>
      <c r="AH799" s="357"/>
      <c r="AI799" s="357"/>
      <c r="AJ799" s="357"/>
      <c r="AK799" s="357"/>
      <c r="AL799" s="357"/>
      <c r="AM799" s="357"/>
      <c r="AN799" s="357"/>
      <c r="AO799" s="357"/>
      <c r="AP799" s="357"/>
      <c r="AQ799" s="357"/>
      <c r="AR799" s="357"/>
      <c r="AS799" s="357"/>
      <c r="AT799" s="357"/>
      <c r="AU799" s="357"/>
      <c r="AV799" s="357"/>
      <c r="AW799" s="357"/>
      <c r="AX799" s="357"/>
      <c r="AY799" s="357"/>
      <c r="AZ799" s="357"/>
      <c r="BA799" s="357"/>
      <c r="BB799" s="357"/>
      <c r="BC799" s="357"/>
      <c r="BD799" s="357"/>
    </row>
    <row r="800" spans="7:56">
      <c r="G800" s="357"/>
      <c r="H800" s="357"/>
      <c r="I800" s="357"/>
      <c r="J800" s="357"/>
      <c r="K800" s="357"/>
      <c r="L800" s="357"/>
      <c r="M800" s="357"/>
      <c r="N800" s="357"/>
      <c r="O800" s="357"/>
      <c r="P800" s="357"/>
      <c r="Q800" s="357"/>
      <c r="R800" s="357"/>
      <c r="S800" s="357"/>
      <c r="T800" s="357"/>
      <c r="U800" s="357"/>
      <c r="V800" s="357"/>
      <c r="W800" s="357"/>
      <c r="X800" s="357"/>
      <c r="Y800" s="357"/>
      <c r="Z800" s="357"/>
      <c r="AA800" s="357"/>
      <c r="AB800" s="357"/>
      <c r="AC800" s="357"/>
      <c r="AD800" s="357"/>
      <c r="AE800" s="357"/>
      <c r="AF800" s="357"/>
      <c r="AG800" s="357"/>
      <c r="AH800" s="357"/>
      <c r="AI800" s="357"/>
      <c r="AJ800" s="357"/>
      <c r="AK800" s="357"/>
      <c r="AL800" s="357"/>
      <c r="AM800" s="357"/>
      <c r="AN800" s="357"/>
      <c r="AO800" s="357"/>
      <c r="AP800" s="357"/>
      <c r="AQ800" s="357"/>
      <c r="AR800" s="357"/>
      <c r="AS800" s="357"/>
      <c r="AT800" s="357"/>
      <c r="AU800" s="357"/>
      <c r="AV800" s="357"/>
      <c r="AW800" s="357"/>
      <c r="AX800" s="357"/>
      <c r="AY800" s="357"/>
      <c r="AZ800" s="357"/>
      <c r="BA800" s="357"/>
      <c r="BB800" s="357"/>
      <c r="BC800" s="357"/>
      <c r="BD800" s="357"/>
    </row>
    <row r="801" spans="7:56">
      <c r="G801" s="357"/>
      <c r="H801" s="357"/>
      <c r="I801" s="357"/>
      <c r="J801" s="357"/>
      <c r="K801" s="357"/>
      <c r="L801" s="357"/>
      <c r="M801" s="357"/>
      <c r="N801" s="357"/>
      <c r="O801" s="357"/>
      <c r="P801" s="357"/>
      <c r="Q801" s="357"/>
      <c r="R801" s="357"/>
      <c r="S801" s="357"/>
      <c r="T801" s="357"/>
      <c r="U801" s="357"/>
      <c r="V801" s="357"/>
      <c r="W801" s="357"/>
      <c r="X801" s="357"/>
      <c r="Y801" s="357"/>
      <c r="Z801" s="357"/>
      <c r="AA801" s="357"/>
      <c r="AB801" s="357"/>
      <c r="AC801" s="357"/>
      <c r="AD801" s="357"/>
      <c r="AE801" s="357"/>
      <c r="AF801" s="357"/>
      <c r="AG801" s="357"/>
      <c r="AH801" s="357"/>
      <c r="AI801" s="357"/>
      <c r="AJ801" s="357"/>
      <c r="AK801" s="357"/>
      <c r="AL801" s="357"/>
      <c r="AM801" s="357"/>
      <c r="AN801" s="357"/>
      <c r="AO801" s="357"/>
      <c r="AP801" s="357"/>
      <c r="AQ801" s="357"/>
      <c r="AR801" s="357"/>
      <c r="AS801" s="357"/>
      <c r="AT801" s="357"/>
      <c r="AU801" s="357"/>
      <c r="AV801" s="357"/>
      <c r="AW801" s="357"/>
      <c r="AX801" s="357"/>
      <c r="AY801" s="357"/>
      <c r="AZ801" s="357"/>
      <c r="BA801" s="357"/>
      <c r="BB801" s="357"/>
      <c r="BC801" s="357"/>
      <c r="BD801" s="357"/>
    </row>
    <row r="802" spans="7:56">
      <c r="G802" s="357"/>
      <c r="H802" s="357"/>
      <c r="I802" s="357"/>
      <c r="J802" s="357"/>
      <c r="K802" s="357"/>
      <c r="L802" s="357"/>
      <c r="M802" s="357"/>
      <c r="N802" s="357"/>
      <c r="O802" s="357"/>
      <c r="P802" s="357"/>
      <c r="Q802" s="357"/>
      <c r="R802" s="357"/>
      <c r="S802" s="357"/>
      <c r="T802" s="357"/>
      <c r="U802" s="357"/>
      <c r="V802" s="357"/>
      <c r="W802" s="357"/>
      <c r="X802" s="357"/>
      <c r="Y802" s="357"/>
      <c r="Z802" s="357"/>
      <c r="AA802" s="357"/>
      <c r="AB802" s="357"/>
      <c r="AC802" s="357"/>
      <c r="AD802" s="357"/>
      <c r="AE802" s="357"/>
      <c r="AF802" s="357"/>
      <c r="AG802" s="357"/>
      <c r="AH802" s="357"/>
      <c r="AI802" s="357"/>
      <c r="AJ802" s="357"/>
      <c r="AK802" s="357"/>
      <c r="AL802" s="357"/>
      <c r="AM802" s="357"/>
      <c r="AN802" s="357"/>
      <c r="AO802" s="357"/>
      <c r="AP802" s="357"/>
      <c r="AQ802" s="357"/>
      <c r="AR802" s="357"/>
      <c r="AS802" s="357"/>
      <c r="AT802" s="357"/>
      <c r="AU802" s="357"/>
      <c r="AV802" s="357"/>
      <c r="AW802" s="357"/>
      <c r="AX802" s="357"/>
      <c r="AY802" s="357"/>
      <c r="AZ802" s="357"/>
      <c r="BA802" s="357"/>
      <c r="BB802" s="357"/>
      <c r="BC802" s="357"/>
      <c r="BD802" s="357"/>
    </row>
    <row r="803" spans="7:56">
      <c r="G803" s="357"/>
      <c r="H803" s="357"/>
      <c r="I803" s="357"/>
      <c r="J803" s="357"/>
      <c r="K803" s="357"/>
      <c r="L803" s="357"/>
      <c r="M803" s="357"/>
      <c r="N803" s="357"/>
      <c r="O803" s="357"/>
      <c r="P803" s="357"/>
      <c r="Q803" s="357"/>
      <c r="R803" s="357"/>
      <c r="S803" s="357"/>
      <c r="T803" s="357"/>
      <c r="U803" s="357"/>
      <c r="V803" s="357"/>
      <c r="W803" s="357"/>
      <c r="X803" s="357"/>
      <c r="Y803" s="357"/>
      <c r="Z803" s="357"/>
      <c r="AA803" s="357"/>
      <c r="AB803" s="357"/>
      <c r="AC803" s="357"/>
      <c r="AD803" s="357"/>
      <c r="AE803" s="357"/>
      <c r="AF803" s="357"/>
      <c r="AG803" s="357"/>
      <c r="AH803" s="357"/>
      <c r="AI803" s="357"/>
      <c r="AJ803" s="357"/>
      <c r="AK803" s="357"/>
      <c r="AL803" s="357"/>
      <c r="AM803" s="357"/>
      <c r="AN803" s="357"/>
      <c r="AO803" s="357"/>
      <c r="AP803" s="357"/>
      <c r="AQ803" s="357"/>
      <c r="AR803" s="357"/>
      <c r="AS803" s="357"/>
      <c r="AT803" s="357"/>
      <c r="AU803" s="357"/>
      <c r="AV803" s="357"/>
      <c r="AW803" s="357"/>
      <c r="AX803" s="357"/>
      <c r="AY803" s="357"/>
      <c r="AZ803" s="357"/>
      <c r="BA803" s="357"/>
      <c r="BB803" s="357"/>
      <c r="BC803" s="357"/>
      <c r="BD803" s="357"/>
    </row>
    <row r="804" spans="7:56">
      <c r="G804" s="357"/>
      <c r="H804" s="357"/>
      <c r="I804" s="357"/>
      <c r="J804" s="357"/>
      <c r="K804" s="357"/>
      <c r="L804" s="357"/>
      <c r="M804" s="357"/>
      <c r="N804" s="357"/>
      <c r="O804" s="357"/>
      <c r="P804" s="357"/>
      <c r="Q804" s="357"/>
      <c r="R804" s="357"/>
      <c r="S804" s="357"/>
      <c r="T804" s="357"/>
      <c r="U804" s="357"/>
      <c r="V804" s="357"/>
      <c r="W804" s="357"/>
      <c r="X804" s="357"/>
      <c r="Y804" s="357"/>
      <c r="Z804" s="357"/>
      <c r="AA804" s="357"/>
      <c r="AB804" s="357"/>
      <c r="AC804" s="357"/>
      <c r="AD804" s="357"/>
      <c r="AE804" s="357"/>
      <c r="AF804" s="357"/>
      <c r="AG804" s="357"/>
      <c r="AH804" s="357"/>
      <c r="AI804" s="357"/>
      <c r="AJ804" s="357"/>
      <c r="AK804" s="357"/>
      <c r="AL804" s="357"/>
      <c r="AM804" s="357"/>
      <c r="AN804" s="357"/>
      <c r="AO804" s="357"/>
      <c r="AP804" s="357"/>
      <c r="AQ804" s="357"/>
      <c r="AR804" s="357"/>
      <c r="AS804" s="357"/>
      <c r="AT804" s="357"/>
      <c r="AU804" s="357"/>
      <c r="AV804" s="357"/>
      <c r="AW804" s="357"/>
      <c r="AX804" s="357"/>
      <c r="AY804" s="357"/>
      <c r="AZ804" s="357"/>
      <c r="BA804" s="357"/>
      <c r="BB804" s="357"/>
      <c r="BC804" s="357"/>
      <c r="BD804" s="357"/>
    </row>
    <row r="805" spans="7:56">
      <c r="G805" s="357"/>
      <c r="H805" s="357"/>
      <c r="I805" s="357"/>
      <c r="J805" s="357"/>
      <c r="K805" s="357"/>
      <c r="L805" s="357"/>
      <c r="M805" s="357"/>
      <c r="N805" s="357"/>
      <c r="O805" s="357"/>
      <c r="P805" s="357"/>
      <c r="Q805" s="357"/>
      <c r="R805" s="357"/>
      <c r="S805" s="357"/>
      <c r="T805" s="357"/>
      <c r="U805" s="357"/>
      <c r="V805" s="357"/>
      <c r="W805" s="357"/>
      <c r="X805" s="357"/>
      <c r="Y805" s="357"/>
      <c r="Z805" s="357"/>
      <c r="AA805" s="357"/>
      <c r="AB805" s="357"/>
      <c r="AC805" s="357"/>
      <c r="AD805" s="357"/>
      <c r="AE805" s="357"/>
      <c r="AF805" s="357"/>
      <c r="AG805" s="357"/>
      <c r="AH805" s="357"/>
      <c r="AI805" s="357"/>
      <c r="AJ805" s="357"/>
      <c r="AK805" s="357"/>
      <c r="AL805" s="357"/>
      <c r="AM805" s="357"/>
      <c r="AN805" s="357"/>
      <c r="AO805" s="357"/>
      <c r="AP805" s="357"/>
      <c r="AQ805" s="357"/>
      <c r="AR805" s="357"/>
      <c r="AS805" s="357"/>
      <c r="AT805" s="357"/>
      <c r="AU805" s="357"/>
      <c r="AV805" s="357"/>
      <c r="AW805" s="357"/>
      <c r="AX805" s="357"/>
      <c r="AY805" s="357"/>
      <c r="AZ805" s="357"/>
      <c r="BA805" s="357"/>
      <c r="BB805" s="357"/>
      <c r="BC805" s="357"/>
      <c r="BD805" s="357"/>
    </row>
    <row r="806" spans="7:56">
      <c r="G806" s="357"/>
      <c r="H806" s="357"/>
      <c r="I806" s="357"/>
      <c r="J806" s="357"/>
      <c r="K806" s="357"/>
      <c r="L806" s="357"/>
      <c r="M806" s="357"/>
      <c r="N806" s="357"/>
      <c r="O806" s="357"/>
      <c r="P806" s="357"/>
      <c r="Q806" s="357"/>
      <c r="R806" s="357"/>
      <c r="S806" s="357"/>
      <c r="T806" s="357"/>
      <c r="U806" s="357"/>
      <c r="V806" s="357"/>
      <c r="W806" s="357"/>
      <c r="X806" s="357"/>
      <c r="Y806" s="357"/>
      <c r="Z806" s="357"/>
      <c r="AA806" s="357"/>
      <c r="AB806" s="357"/>
      <c r="AC806" s="357"/>
      <c r="AD806" s="357"/>
      <c r="AE806" s="357"/>
      <c r="AF806" s="357"/>
      <c r="AG806" s="357"/>
      <c r="AH806" s="357"/>
      <c r="AI806" s="357"/>
      <c r="AJ806" s="357"/>
      <c r="AK806" s="357"/>
      <c r="AL806" s="357"/>
      <c r="AM806" s="357"/>
      <c r="AN806" s="357"/>
      <c r="AO806" s="357"/>
      <c r="AP806" s="357"/>
      <c r="AQ806" s="357"/>
      <c r="AR806" s="357"/>
      <c r="AS806" s="357"/>
      <c r="AT806" s="357"/>
      <c r="AU806" s="357"/>
      <c r="AV806" s="357"/>
      <c r="AW806" s="357"/>
      <c r="AX806" s="357"/>
      <c r="AY806" s="357"/>
      <c r="AZ806" s="357"/>
      <c r="BA806" s="357"/>
      <c r="BB806" s="357"/>
      <c r="BC806" s="357"/>
      <c r="BD806" s="357"/>
    </row>
    <row r="807" spans="7:56">
      <c r="G807" s="357"/>
      <c r="H807" s="357"/>
      <c r="I807" s="357"/>
      <c r="J807" s="357"/>
      <c r="K807" s="357"/>
      <c r="L807" s="357"/>
      <c r="M807" s="357"/>
      <c r="N807" s="357"/>
      <c r="O807" s="357"/>
      <c r="P807" s="357"/>
      <c r="Q807" s="357"/>
      <c r="R807" s="357"/>
      <c r="S807" s="357"/>
      <c r="T807" s="357"/>
      <c r="U807" s="357"/>
      <c r="V807" s="357"/>
      <c r="W807" s="357"/>
      <c r="X807" s="357"/>
      <c r="Y807" s="357"/>
      <c r="Z807" s="357"/>
      <c r="AA807" s="357"/>
      <c r="AB807" s="357"/>
      <c r="AC807" s="357"/>
      <c r="AD807" s="357"/>
      <c r="AE807" s="357"/>
      <c r="AF807" s="357"/>
      <c r="AG807" s="357"/>
      <c r="AH807" s="357"/>
      <c r="AI807" s="357"/>
      <c r="AJ807" s="357"/>
      <c r="AK807" s="357"/>
      <c r="AL807" s="357"/>
      <c r="AM807" s="357"/>
      <c r="AN807" s="357"/>
      <c r="AO807" s="357"/>
      <c r="AP807" s="357"/>
      <c r="AQ807" s="357"/>
      <c r="AR807" s="357"/>
      <c r="AS807" s="357"/>
      <c r="AT807" s="357"/>
      <c r="AU807" s="357"/>
      <c r="AV807" s="357"/>
      <c r="AW807" s="357"/>
      <c r="AX807" s="357"/>
      <c r="AY807" s="357"/>
      <c r="AZ807" s="357"/>
      <c r="BA807" s="357"/>
      <c r="BB807" s="357"/>
      <c r="BC807" s="357"/>
      <c r="BD807" s="357"/>
    </row>
    <row r="808" spans="7:56">
      <c r="G808" s="357"/>
      <c r="H808" s="357"/>
      <c r="I808" s="357"/>
      <c r="J808" s="357"/>
      <c r="K808" s="357"/>
      <c r="L808" s="357"/>
      <c r="M808" s="357"/>
      <c r="N808" s="357"/>
      <c r="O808" s="357"/>
      <c r="P808" s="357"/>
      <c r="Q808" s="357"/>
      <c r="R808" s="357"/>
      <c r="S808" s="357"/>
      <c r="T808" s="357"/>
      <c r="U808" s="357"/>
      <c r="V808" s="357"/>
      <c r="W808" s="357"/>
      <c r="X808" s="357"/>
      <c r="Y808" s="357"/>
      <c r="Z808" s="357"/>
      <c r="AA808" s="357"/>
      <c r="AB808" s="357"/>
      <c r="AC808" s="357"/>
      <c r="AD808" s="357"/>
      <c r="AE808" s="357"/>
      <c r="AF808" s="357"/>
      <c r="AG808" s="357"/>
      <c r="AH808" s="357"/>
      <c r="AI808" s="357"/>
      <c r="AJ808" s="357"/>
      <c r="AK808" s="357"/>
      <c r="AL808" s="357"/>
      <c r="AM808" s="357"/>
      <c r="AN808" s="357"/>
      <c r="AO808" s="357"/>
      <c r="AP808" s="357"/>
      <c r="AQ808" s="357"/>
      <c r="AR808" s="357"/>
      <c r="AS808" s="357"/>
      <c r="AT808" s="357"/>
      <c r="AU808" s="357"/>
      <c r="AV808" s="357"/>
      <c r="AW808" s="357"/>
      <c r="AX808" s="357"/>
      <c r="AY808" s="357"/>
      <c r="AZ808" s="357"/>
      <c r="BA808" s="357"/>
      <c r="BB808" s="357"/>
      <c r="BC808" s="357"/>
      <c r="BD808" s="357"/>
    </row>
    <row r="809" spans="7:56">
      <c r="G809" s="357"/>
      <c r="H809" s="357"/>
      <c r="I809" s="357"/>
      <c r="J809" s="357"/>
      <c r="K809" s="357"/>
      <c r="L809" s="357"/>
      <c r="M809" s="357"/>
      <c r="N809" s="357"/>
      <c r="O809" s="357"/>
      <c r="P809" s="357"/>
      <c r="Q809" s="357"/>
      <c r="R809" s="357"/>
      <c r="S809" s="357"/>
      <c r="T809" s="357"/>
      <c r="U809" s="357"/>
      <c r="V809" s="357"/>
      <c r="W809" s="357"/>
      <c r="X809" s="357"/>
      <c r="Y809" s="357"/>
      <c r="Z809" s="357"/>
      <c r="AA809" s="357"/>
      <c r="AB809" s="357"/>
      <c r="AC809" s="357"/>
      <c r="AD809" s="357"/>
      <c r="AE809" s="357"/>
      <c r="AF809" s="357"/>
      <c r="AG809" s="357"/>
      <c r="AH809" s="357"/>
      <c r="AI809" s="357"/>
      <c r="AJ809" s="357"/>
      <c r="AK809" s="357"/>
      <c r="AL809" s="357"/>
      <c r="AM809" s="357"/>
      <c r="AN809" s="357"/>
      <c r="AO809" s="357"/>
      <c r="AP809" s="357"/>
      <c r="AQ809" s="357"/>
      <c r="AR809" s="357"/>
      <c r="AS809" s="357"/>
      <c r="AT809" s="357"/>
      <c r="AU809" s="357"/>
      <c r="AV809" s="357"/>
      <c r="AW809" s="357"/>
      <c r="AX809" s="357"/>
      <c r="AY809" s="357"/>
      <c r="AZ809" s="357"/>
      <c r="BA809" s="357"/>
      <c r="BB809" s="357"/>
      <c r="BC809" s="357"/>
      <c r="BD809" s="357"/>
    </row>
    <row r="810" spans="7:56">
      <c r="G810" s="357"/>
      <c r="H810" s="357"/>
      <c r="I810" s="357"/>
      <c r="J810" s="357"/>
      <c r="K810" s="357"/>
      <c r="L810" s="357"/>
      <c r="M810" s="357"/>
      <c r="N810" s="357"/>
      <c r="O810" s="357"/>
      <c r="P810" s="357"/>
      <c r="Q810" s="357"/>
      <c r="R810" s="357"/>
      <c r="S810" s="357"/>
      <c r="T810" s="357"/>
      <c r="U810" s="357"/>
      <c r="V810" s="357"/>
      <c r="W810" s="357"/>
      <c r="X810" s="357"/>
      <c r="Y810" s="357"/>
      <c r="Z810" s="357"/>
      <c r="AA810" s="357"/>
      <c r="AB810" s="357"/>
      <c r="AC810" s="357"/>
      <c r="AD810" s="357"/>
      <c r="AE810" s="357"/>
      <c r="AF810" s="357"/>
      <c r="AG810" s="357"/>
      <c r="AH810" s="357"/>
      <c r="AI810" s="357"/>
      <c r="AJ810" s="357"/>
      <c r="AK810" s="357"/>
      <c r="AL810" s="357"/>
      <c r="AM810" s="357"/>
      <c r="AN810" s="357"/>
      <c r="AO810" s="357"/>
      <c r="AP810" s="357"/>
      <c r="AQ810" s="357"/>
      <c r="AR810" s="357"/>
      <c r="AS810" s="357"/>
      <c r="AT810" s="357"/>
      <c r="AU810" s="357"/>
      <c r="AV810" s="357"/>
      <c r="AW810" s="357"/>
      <c r="AX810" s="357"/>
      <c r="AY810" s="357"/>
      <c r="AZ810" s="357"/>
      <c r="BA810" s="357"/>
      <c r="BB810" s="357"/>
      <c r="BC810" s="357"/>
      <c r="BD810" s="357"/>
    </row>
    <row r="811" spans="7:56">
      <c r="G811" s="357"/>
      <c r="H811" s="357"/>
      <c r="I811" s="357"/>
      <c r="J811" s="357"/>
      <c r="K811" s="357"/>
      <c r="L811" s="357"/>
      <c r="M811" s="357"/>
      <c r="N811" s="357"/>
      <c r="O811" s="357"/>
      <c r="P811" s="357"/>
      <c r="Q811" s="357"/>
      <c r="R811" s="357"/>
      <c r="S811" s="357"/>
      <c r="T811" s="357"/>
      <c r="U811" s="357"/>
      <c r="V811" s="357"/>
      <c r="W811" s="357"/>
      <c r="X811" s="357"/>
      <c r="Y811" s="357"/>
      <c r="Z811" s="357"/>
      <c r="AA811" s="357"/>
      <c r="AB811" s="357"/>
      <c r="AC811" s="357"/>
      <c r="AD811" s="357"/>
      <c r="AE811" s="357"/>
      <c r="AF811" s="357"/>
      <c r="AG811" s="357"/>
      <c r="AH811" s="357"/>
      <c r="AI811" s="357"/>
      <c r="AJ811" s="357"/>
      <c r="AK811" s="357"/>
      <c r="AL811" s="357"/>
      <c r="AM811" s="357"/>
      <c r="AN811" s="357"/>
      <c r="AO811" s="357"/>
      <c r="AP811" s="357"/>
      <c r="AQ811" s="357"/>
      <c r="AR811" s="357"/>
      <c r="AS811" s="357"/>
      <c r="AT811" s="357"/>
      <c r="AU811" s="357"/>
      <c r="AV811" s="357"/>
      <c r="AW811" s="357"/>
      <c r="AX811" s="357"/>
      <c r="AY811" s="357"/>
      <c r="AZ811" s="357"/>
      <c r="BA811" s="357"/>
      <c r="BB811" s="357"/>
      <c r="BC811" s="357"/>
      <c r="BD811" s="357"/>
    </row>
    <row r="812" spans="7:56">
      <c r="G812" s="357"/>
      <c r="H812" s="357"/>
      <c r="I812" s="357"/>
      <c r="J812" s="357"/>
      <c r="K812" s="357"/>
      <c r="L812" s="357"/>
      <c r="M812" s="357"/>
      <c r="N812" s="357"/>
      <c r="O812" s="357"/>
      <c r="P812" s="357"/>
      <c r="Q812" s="357"/>
      <c r="R812" s="357"/>
      <c r="S812" s="357"/>
      <c r="T812" s="357"/>
      <c r="U812" s="357"/>
      <c r="V812" s="357"/>
      <c r="W812" s="357"/>
      <c r="X812" s="357"/>
      <c r="Y812" s="357"/>
      <c r="Z812" s="357"/>
      <c r="AA812" s="357"/>
      <c r="AB812" s="357"/>
      <c r="AC812" s="357"/>
      <c r="AD812" s="357"/>
      <c r="AE812" s="357"/>
      <c r="AF812" s="357"/>
      <c r="AG812" s="357"/>
      <c r="AH812" s="357"/>
      <c r="AI812" s="357"/>
      <c r="AJ812" s="357"/>
      <c r="AK812" s="357"/>
      <c r="AL812" s="357"/>
      <c r="AM812" s="357"/>
      <c r="AN812" s="357"/>
      <c r="AO812" s="357"/>
      <c r="AP812" s="357"/>
      <c r="AQ812" s="357"/>
      <c r="AR812" s="357"/>
      <c r="AS812" s="357"/>
      <c r="AT812" s="357"/>
      <c r="AU812" s="357"/>
      <c r="AV812" s="357"/>
      <c r="AW812" s="357"/>
      <c r="AX812" s="357"/>
      <c r="AY812" s="357"/>
      <c r="AZ812" s="357"/>
      <c r="BA812" s="357"/>
      <c r="BB812" s="357"/>
      <c r="BC812" s="357"/>
      <c r="BD812" s="357"/>
    </row>
    <row r="813" spans="7:56">
      <c r="G813" s="357"/>
      <c r="H813" s="357"/>
      <c r="I813" s="357"/>
      <c r="J813" s="357"/>
      <c r="K813" s="357"/>
      <c r="L813" s="357"/>
      <c r="M813" s="357"/>
      <c r="N813" s="357"/>
      <c r="O813" s="357"/>
      <c r="P813" s="357"/>
      <c r="Q813" s="357"/>
      <c r="R813" s="357"/>
      <c r="S813" s="357"/>
      <c r="T813" s="357"/>
      <c r="U813" s="357"/>
      <c r="V813" s="357"/>
      <c r="W813" s="357"/>
      <c r="X813" s="357"/>
      <c r="Y813" s="357"/>
      <c r="Z813" s="357"/>
      <c r="AA813" s="357"/>
      <c r="AB813" s="357"/>
      <c r="AC813" s="357"/>
      <c r="AD813" s="357"/>
      <c r="AE813" s="357"/>
      <c r="AF813" s="357"/>
      <c r="AG813" s="357"/>
      <c r="AH813" s="357"/>
      <c r="AI813" s="357"/>
      <c r="AJ813" s="357"/>
      <c r="AK813" s="357"/>
      <c r="AL813" s="357"/>
      <c r="AM813" s="357"/>
      <c r="AN813" s="357"/>
      <c r="AO813" s="357"/>
      <c r="AP813" s="357"/>
      <c r="AQ813" s="357"/>
      <c r="AR813" s="357"/>
      <c r="AS813" s="357"/>
      <c r="AT813" s="357"/>
      <c r="AU813" s="357"/>
      <c r="AV813" s="357"/>
      <c r="AW813" s="357"/>
      <c r="AX813" s="357"/>
      <c r="AY813" s="357"/>
      <c r="AZ813" s="357"/>
      <c r="BA813" s="357"/>
      <c r="BB813" s="357"/>
      <c r="BC813" s="357"/>
      <c r="BD813" s="357"/>
    </row>
    <row r="814" spans="7:56">
      <c r="G814" s="357"/>
      <c r="H814" s="357"/>
      <c r="I814" s="357"/>
      <c r="J814" s="357"/>
      <c r="K814" s="357"/>
      <c r="L814" s="357"/>
      <c r="M814" s="357"/>
      <c r="N814" s="357"/>
      <c r="O814" s="357"/>
      <c r="P814" s="357"/>
      <c r="Q814" s="357"/>
      <c r="R814" s="357"/>
      <c r="S814" s="357"/>
      <c r="T814" s="357"/>
      <c r="U814" s="357"/>
      <c r="V814" s="357"/>
      <c r="W814" s="357"/>
      <c r="X814" s="357"/>
      <c r="Y814" s="357"/>
      <c r="Z814" s="357"/>
      <c r="AA814" s="357"/>
      <c r="AB814" s="357"/>
      <c r="AC814" s="357"/>
      <c r="AD814" s="357"/>
      <c r="AE814" s="357"/>
      <c r="AF814" s="357"/>
      <c r="AG814" s="357"/>
      <c r="AH814" s="357"/>
      <c r="AI814" s="357"/>
      <c r="AJ814" s="357"/>
      <c r="AK814" s="357"/>
      <c r="AL814" s="357"/>
      <c r="AM814" s="357"/>
      <c r="AN814" s="357"/>
      <c r="AO814" s="357"/>
      <c r="AP814" s="357"/>
      <c r="AQ814" s="357"/>
      <c r="AR814" s="357"/>
      <c r="AS814" s="357"/>
      <c r="AT814" s="357"/>
      <c r="AU814" s="357"/>
      <c r="AV814" s="357"/>
      <c r="AW814" s="357"/>
      <c r="AX814" s="357"/>
      <c r="AY814" s="357"/>
      <c r="AZ814" s="357"/>
      <c r="BA814" s="357"/>
      <c r="BB814" s="357"/>
      <c r="BC814" s="357"/>
      <c r="BD814" s="357"/>
    </row>
  </sheetData>
  <sheetProtection algorithmName="SHA-512" hashValue="+53PRHGG+RHQg8xaho4YxRfQO+nUBueEIss6KUO36VoM4jQBremhdecwnhjznW5a9w3eCNLDaNALsPHd0SNX7g==" saltValue="R/3zShPD/J+M/zKm2g1Wog==" spinCount="100000" sheet="1" objects="1" scenarios="1"/>
  <mergeCells count="121">
    <mergeCell ref="A356:C356"/>
    <mergeCell ref="A357:C357"/>
    <mergeCell ref="A358:C358"/>
    <mergeCell ref="A359:C359"/>
    <mergeCell ref="A360:C360"/>
    <mergeCell ref="A313:B313"/>
    <mergeCell ref="A71:D71"/>
    <mergeCell ref="S237:S239"/>
    <mergeCell ref="S259:S261"/>
    <mergeCell ref="A285:A286"/>
    <mergeCell ref="B285:B286"/>
    <mergeCell ref="A298:A301"/>
    <mergeCell ref="A302:A305"/>
    <mergeCell ref="O295:R295"/>
    <mergeCell ref="S295:S297"/>
    <mergeCell ref="C296:E296"/>
    <mergeCell ref="F296:H296"/>
    <mergeCell ref="I296:K296"/>
    <mergeCell ref="L296:N296"/>
    <mergeCell ref="O296:O297"/>
    <mergeCell ref="P296:P297"/>
    <mergeCell ref="Q296:Q297"/>
    <mergeCell ref="R296:R297"/>
    <mergeCell ref="A295:A297"/>
    <mergeCell ref="B295:B297"/>
    <mergeCell ref="C295:N295"/>
    <mergeCell ref="C285:N285"/>
    <mergeCell ref="A240:A243"/>
    <mergeCell ref="A244:A250"/>
    <mergeCell ref="A251:A252"/>
    <mergeCell ref="A254:A256"/>
    <mergeCell ref="A104:B104"/>
    <mergeCell ref="A131:A142"/>
    <mergeCell ref="A143:A150"/>
    <mergeCell ref="A112:A113"/>
    <mergeCell ref="A216:A217"/>
    <mergeCell ref="B216:B217"/>
    <mergeCell ref="C216:N216"/>
    <mergeCell ref="A218:A221"/>
    <mergeCell ref="A222:A228"/>
    <mergeCell ref="C164:N164"/>
    <mergeCell ref="A167:A183"/>
    <mergeCell ref="A164:A166"/>
    <mergeCell ref="B164:B166"/>
    <mergeCell ref="A184:A195"/>
    <mergeCell ref="A196:A203"/>
    <mergeCell ref="A204:A208"/>
    <mergeCell ref="A209:A212"/>
    <mergeCell ref="S164:S166"/>
    <mergeCell ref="T2:V2"/>
    <mergeCell ref="A65:D65"/>
    <mergeCell ref="A66:D66"/>
    <mergeCell ref="A67:D67"/>
    <mergeCell ref="A68:D68"/>
    <mergeCell ref="A69:D69"/>
    <mergeCell ref="E2:H2"/>
    <mergeCell ref="A64:B64"/>
    <mergeCell ref="D2:D3"/>
    <mergeCell ref="C2:C3"/>
    <mergeCell ref="B2:B3"/>
    <mergeCell ref="A2:A3"/>
    <mergeCell ref="I2:I3"/>
    <mergeCell ref="B112:B113"/>
    <mergeCell ref="A114:A130"/>
    <mergeCell ref="A151:A155"/>
    <mergeCell ref="A156:A159"/>
    <mergeCell ref="J2:S2"/>
    <mergeCell ref="A76:B76"/>
    <mergeCell ref="A70:D70"/>
    <mergeCell ref="E75:I75"/>
    <mergeCell ref="A89:B89"/>
    <mergeCell ref="A98:B98"/>
    <mergeCell ref="A262:A281"/>
    <mergeCell ref="A259:A261"/>
    <mergeCell ref="B259:B261"/>
    <mergeCell ref="C259:N259"/>
    <mergeCell ref="C112:N112"/>
    <mergeCell ref="C165:E165"/>
    <mergeCell ref="F165:H165"/>
    <mergeCell ref="I165:K165"/>
    <mergeCell ref="L165:N165"/>
    <mergeCell ref="O259:R259"/>
    <mergeCell ref="C260:E260"/>
    <mergeCell ref="F260:H260"/>
    <mergeCell ref="I260:K260"/>
    <mergeCell ref="L260:N260"/>
    <mergeCell ref="O260:O261"/>
    <mergeCell ref="P260:P261"/>
    <mergeCell ref="Q260:Q261"/>
    <mergeCell ref="R260:R261"/>
    <mergeCell ref="P165:P166"/>
    <mergeCell ref="Q165:Q166"/>
    <mergeCell ref="R165:R166"/>
    <mergeCell ref="O164:R164"/>
    <mergeCell ref="O165:O166"/>
    <mergeCell ref="A229:A230"/>
    <mergeCell ref="A232:A234"/>
    <mergeCell ref="A237:A239"/>
    <mergeCell ref="B237:B239"/>
    <mergeCell ref="C237:N237"/>
    <mergeCell ref="O237:R237"/>
    <mergeCell ref="C238:E238"/>
    <mergeCell ref="F238:H238"/>
    <mergeCell ref="I238:K238"/>
    <mergeCell ref="L238:N238"/>
    <mergeCell ref="O238:O239"/>
    <mergeCell ref="P238:P239"/>
    <mergeCell ref="Q238:Q239"/>
    <mergeCell ref="R238:R239"/>
    <mergeCell ref="T295:T297"/>
    <mergeCell ref="U295:U297"/>
    <mergeCell ref="V295:V297"/>
    <mergeCell ref="W295:W297"/>
    <mergeCell ref="T164:T166"/>
    <mergeCell ref="U164:U166"/>
    <mergeCell ref="V164:V166"/>
    <mergeCell ref="W164:W166"/>
    <mergeCell ref="T237:T239"/>
    <mergeCell ref="U237:U239"/>
    <mergeCell ref="V237:V239"/>
    <mergeCell ref="W237:W239"/>
  </mergeCells>
  <dataValidations count="1">
    <dataValidation type="whole" operator="greaterThanOrEqual" allowBlank="1" showInputMessage="1" showErrorMessage="1" sqref="R77:S86 G89:H96 F89:F91 F93:F94 E77:E88 G77:I86" xr:uid="{78EC47EF-7C0D-4A1B-8CAD-FB48ABA9DA96}">
      <formula1>0</formula1>
    </dataValidation>
  </dataValidations>
  <pageMargins left="0.7" right="0.7" top="0.75" bottom="0.75" header="0.3" footer="0.3"/>
  <pageSetup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C23EE-631E-4BD6-B5A4-7CBBF2E1A4EA}">
  <dimension ref="A2:W100"/>
  <sheetViews>
    <sheetView topLeftCell="A55" workbookViewId="0">
      <selection activeCell="A102" sqref="A102"/>
    </sheetView>
  </sheetViews>
  <sheetFormatPr defaultRowHeight="12.75"/>
  <cols>
    <col min="1" max="1" width="30" style="356" customWidth="1"/>
    <col min="2" max="2" width="21.85546875" style="356" customWidth="1"/>
    <col min="3" max="3" width="14.85546875" style="356" bestFit="1" customWidth="1"/>
    <col min="4" max="4" width="11.5703125" style="356" bestFit="1" customWidth="1"/>
    <col min="5" max="5" width="20.42578125" style="356" customWidth="1"/>
    <col min="6" max="6" width="10.5703125" style="356" bestFit="1" customWidth="1"/>
    <col min="7" max="7" width="9.28515625" style="356" bestFit="1" customWidth="1"/>
    <col min="8" max="8" width="9.5703125" style="356" bestFit="1" customWidth="1"/>
    <col min="9" max="11" width="9.140625" style="356"/>
    <col min="12" max="12" width="11.5703125" style="356" bestFit="1" customWidth="1"/>
    <col min="13" max="14" width="9.140625" style="356"/>
    <col min="15" max="15" width="11.5703125" style="356" bestFit="1" customWidth="1"/>
    <col min="16" max="16384" width="9.140625" style="356"/>
  </cols>
  <sheetData>
    <row r="2" spans="1:8" ht="13.5" thickBot="1"/>
    <row r="3" spans="1:8" ht="16.5" thickBot="1">
      <c r="A3" s="1040" t="s">
        <v>175</v>
      </c>
      <c r="B3" s="1038" t="s">
        <v>176</v>
      </c>
      <c r="C3" s="1036" t="s">
        <v>177</v>
      </c>
      <c r="D3" s="1034" t="s">
        <v>178</v>
      </c>
      <c r="E3" s="1021" t="s">
        <v>354</v>
      </c>
      <c r="F3" s="1022"/>
      <c r="G3" s="1022"/>
      <c r="H3" s="1023"/>
    </row>
    <row r="4" spans="1:8" ht="16.5" thickBot="1">
      <c r="A4" s="1041"/>
      <c r="B4" s="1039"/>
      <c r="C4" s="1037"/>
      <c r="D4" s="1035"/>
      <c r="E4" s="710" t="s">
        <v>355</v>
      </c>
      <c r="F4" s="710" t="s">
        <v>356</v>
      </c>
      <c r="G4" s="710" t="s">
        <v>357</v>
      </c>
      <c r="H4" s="705" t="s">
        <v>358</v>
      </c>
    </row>
    <row r="5" spans="1:8" ht="15.75">
      <c r="A5" s="457">
        <v>1</v>
      </c>
      <c r="B5" s="313" t="s">
        <v>182</v>
      </c>
      <c r="C5" s="313">
        <v>50</v>
      </c>
      <c r="D5" s="434">
        <f>E5+F5+G5+H5</f>
        <v>60</v>
      </c>
      <c r="E5" s="314">
        <v>20</v>
      </c>
      <c r="F5" s="313">
        <v>20</v>
      </c>
      <c r="G5" s="313">
        <v>0</v>
      </c>
      <c r="H5" s="315">
        <v>20</v>
      </c>
    </row>
    <row r="6" spans="1:8" ht="15.75">
      <c r="A6" s="713">
        <v>2</v>
      </c>
      <c r="B6" s="321" t="s">
        <v>183</v>
      </c>
      <c r="C6" s="321">
        <v>30</v>
      </c>
      <c r="D6" s="435">
        <f>E6+F6+G6+H6</f>
        <v>40</v>
      </c>
      <c r="E6" s="322">
        <v>10</v>
      </c>
      <c r="F6" s="321">
        <v>10</v>
      </c>
      <c r="G6" s="321">
        <v>10</v>
      </c>
      <c r="H6" s="323">
        <v>10</v>
      </c>
    </row>
    <row r="7" spans="1:8" ht="15.75">
      <c r="A7" s="713">
        <v>3</v>
      </c>
      <c r="B7" s="321" t="s">
        <v>184</v>
      </c>
      <c r="C7" s="321">
        <v>40</v>
      </c>
      <c r="D7" s="435">
        <f t="shared" ref="D7:D39" si="0">E7+F7+G7+H7</f>
        <v>60</v>
      </c>
      <c r="E7" s="322">
        <v>20</v>
      </c>
      <c r="F7" s="321">
        <v>20</v>
      </c>
      <c r="G7" s="321">
        <v>10</v>
      </c>
      <c r="H7" s="323">
        <v>10</v>
      </c>
    </row>
    <row r="8" spans="1:8" ht="15.75">
      <c r="A8" s="713">
        <v>4</v>
      </c>
      <c r="B8" s="321" t="s">
        <v>186</v>
      </c>
      <c r="C8" s="321">
        <v>20</v>
      </c>
      <c r="D8" s="435">
        <f t="shared" si="0"/>
        <v>20</v>
      </c>
      <c r="E8" s="322">
        <v>10</v>
      </c>
      <c r="F8" s="321">
        <v>10</v>
      </c>
      <c r="G8" s="321">
        <v>0</v>
      </c>
      <c r="H8" s="323">
        <v>0</v>
      </c>
    </row>
    <row r="9" spans="1:8" ht="15.75">
      <c r="A9" s="713">
        <v>5</v>
      </c>
      <c r="B9" s="321" t="s">
        <v>188</v>
      </c>
      <c r="C9" s="321">
        <v>40</v>
      </c>
      <c r="D9" s="435">
        <f t="shared" si="0"/>
        <v>50</v>
      </c>
      <c r="E9" s="322">
        <v>10</v>
      </c>
      <c r="F9" s="321">
        <v>10</v>
      </c>
      <c r="G9" s="321">
        <v>20</v>
      </c>
      <c r="H9" s="323">
        <v>10</v>
      </c>
    </row>
    <row r="10" spans="1:8" ht="15.75">
      <c r="A10" s="713">
        <v>6</v>
      </c>
      <c r="B10" s="321" t="s">
        <v>189</v>
      </c>
      <c r="C10" s="321">
        <v>25</v>
      </c>
      <c r="D10" s="435">
        <f t="shared" si="0"/>
        <v>25</v>
      </c>
      <c r="E10" s="322">
        <v>10</v>
      </c>
      <c r="F10" s="321">
        <v>5</v>
      </c>
      <c r="G10" s="321">
        <v>5</v>
      </c>
      <c r="H10" s="323">
        <v>5</v>
      </c>
    </row>
    <row r="11" spans="1:8" ht="15.75">
      <c r="A11" s="713">
        <v>7</v>
      </c>
      <c r="B11" s="321" t="s">
        <v>190</v>
      </c>
      <c r="C11" s="321">
        <v>30</v>
      </c>
      <c r="D11" s="435">
        <f t="shared" si="0"/>
        <v>30</v>
      </c>
      <c r="E11" s="322">
        <v>5</v>
      </c>
      <c r="F11" s="321">
        <v>5</v>
      </c>
      <c r="G11" s="321">
        <v>10</v>
      </c>
      <c r="H11" s="323">
        <v>10</v>
      </c>
    </row>
    <row r="12" spans="1:8" ht="15.75">
      <c r="A12" s="713">
        <v>8</v>
      </c>
      <c r="B12" s="321" t="s">
        <v>191</v>
      </c>
      <c r="C12" s="321">
        <v>40</v>
      </c>
      <c r="D12" s="435">
        <f t="shared" si="0"/>
        <v>40</v>
      </c>
      <c r="E12" s="322">
        <v>10</v>
      </c>
      <c r="F12" s="321">
        <v>10</v>
      </c>
      <c r="G12" s="321">
        <v>10</v>
      </c>
      <c r="H12" s="323">
        <v>10</v>
      </c>
    </row>
    <row r="13" spans="1:8" ht="15.75">
      <c r="A13" s="713">
        <v>9</v>
      </c>
      <c r="B13" s="321" t="s">
        <v>192</v>
      </c>
      <c r="C13" s="321">
        <v>30</v>
      </c>
      <c r="D13" s="435">
        <f t="shared" si="0"/>
        <v>30</v>
      </c>
      <c r="E13" s="322">
        <v>10</v>
      </c>
      <c r="F13" s="321">
        <v>10</v>
      </c>
      <c r="G13" s="321">
        <v>0</v>
      </c>
      <c r="H13" s="323">
        <v>10</v>
      </c>
    </row>
    <row r="14" spans="1:8" ht="15.75">
      <c r="A14" s="713">
        <v>17</v>
      </c>
      <c r="B14" s="321" t="s">
        <v>200</v>
      </c>
      <c r="C14" s="321">
        <v>30</v>
      </c>
      <c r="D14" s="435">
        <f t="shared" si="0"/>
        <v>35</v>
      </c>
      <c r="E14" s="322">
        <v>5</v>
      </c>
      <c r="F14" s="321">
        <v>0</v>
      </c>
      <c r="G14" s="321">
        <v>15</v>
      </c>
      <c r="H14" s="323">
        <v>15</v>
      </c>
    </row>
    <row r="15" spans="1:8" ht="15.75">
      <c r="A15" s="713">
        <v>18</v>
      </c>
      <c r="B15" s="321" t="s">
        <v>201</v>
      </c>
      <c r="C15" s="321">
        <v>30</v>
      </c>
      <c r="D15" s="435">
        <f t="shared" si="0"/>
        <v>40</v>
      </c>
      <c r="E15" s="322">
        <v>0</v>
      </c>
      <c r="F15" s="321">
        <v>0</v>
      </c>
      <c r="G15" s="321">
        <v>20</v>
      </c>
      <c r="H15" s="323">
        <v>20</v>
      </c>
    </row>
    <row r="16" spans="1:8" ht="15.75">
      <c r="A16" s="713">
        <v>19</v>
      </c>
      <c r="B16" s="321" t="s">
        <v>202</v>
      </c>
      <c r="C16" s="321">
        <v>30</v>
      </c>
      <c r="D16" s="435">
        <f t="shared" si="0"/>
        <v>40</v>
      </c>
      <c r="E16" s="322">
        <v>0</v>
      </c>
      <c r="F16" s="321">
        <v>0</v>
      </c>
      <c r="G16" s="321">
        <v>20</v>
      </c>
      <c r="H16" s="323">
        <v>20</v>
      </c>
    </row>
    <row r="17" spans="1:8" ht="15.75">
      <c r="A17" s="713">
        <v>20</v>
      </c>
      <c r="B17" s="321" t="s">
        <v>203</v>
      </c>
      <c r="C17" s="321">
        <v>30</v>
      </c>
      <c r="D17" s="435">
        <f t="shared" si="0"/>
        <v>40</v>
      </c>
      <c r="E17" s="322">
        <v>0</v>
      </c>
      <c r="F17" s="321">
        <v>0</v>
      </c>
      <c r="G17" s="321">
        <v>20</v>
      </c>
      <c r="H17" s="323">
        <v>20</v>
      </c>
    </row>
    <row r="18" spans="1:8" ht="15.75">
      <c r="A18" s="713">
        <v>21</v>
      </c>
      <c r="B18" s="321" t="s">
        <v>204</v>
      </c>
      <c r="C18" s="321">
        <v>30</v>
      </c>
      <c r="D18" s="435">
        <f t="shared" si="0"/>
        <v>40</v>
      </c>
      <c r="E18" s="322">
        <v>0</v>
      </c>
      <c r="F18" s="321">
        <v>0</v>
      </c>
      <c r="G18" s="321">
        <v>20</v>
      </c>
      <c r="H18" s="323">
        <v>20</v>
      </c>
    </row>
    <row r="19" spans="1:8" ht="15.75">
      <c r="A19" s="713">
        <v>22</v>
      </c>
      <c r="B19" s="321" t="s">
        <v>205</v>
      </c>
      <c r="C19" s="321">
        <v>25</v>
      </c>
      <c r="D19" s="435">
        <f t="shared" si="0"/>
        <v>40</v>
      </c>
      <c r="E19" s="322">
        <v>0</v>
      </c>
      <c r="F19" s="321">
        <v>0</v>
      </c>
      <c r="G19" s="321">
        <v>20</v>
      </c>
      <c r="H19" s="323">
        <v>20</v>
      </c>
    </row>
    <row r="20" spans="1:8" ht="15.75">
      <c r="A20" s="713">
        <v>23</v>
      </c>
      <c r="B20" s="321" t="s">
        <v>206</v>
      </c>
      <c r="C20" s="321">
        <v>20</v>
      </c>
      <c r="D20" s="435">
        <f t="shared" si="0"/>
        <v>20</v>
      </c>
      <c r="E20" s="322">
        <v>0</v>
      </c>
      <c r="F20" s="321">
        <v>0</v>
      </c>
      <c r="G20" s="321">
        <v>10</v>
      </c>
      <c r="H20" s="323">
        <v>10</v>
      </c>
    </row>
    <row r="21" spans="1:8" ht="15.75">
      <c r="A21" s="713">
        <v>24</v>
      </c>
      <c r="B21" s="321" t="s">
        <v>207</v>
      </c>
      <c r="C21" s="321">
        <v>20</v>
      </c>
      <c r="D21" s="435">
        <f t="shared" si="0"/>
        <v>25</v>
      </c>
      <c r="E21" s="322">
        <v>5</v>
      </c>
      <c r="F21" s="321">
        <v>0</v>
      </c>
      <c r="G21" s="321">
        <v>10</v>
      </c>
      <c r="H21" s="323">
        <v>10</v>
      </c>
    </row>
    <row r="22" spans="1:8" ht="15.75">
      <c r="A22" s="713">
        <v>25</v>
      </c>
      <c r="B22" s="321" t="s">
        <v>208</v>
      </c>
      <c r="C22" s="321">
        <v>20</v>
      </c>
      <c r="D22" s="435">
        <f t="shared" si="0"/>
        <v>25</v>
      </c>
      <c r="E22" s="322">
        <v>5</v>
      </c>
      <c r="F22" s="321">
        <v>0</v>
      </c>
      <c r="G22" s="321">
        <v>10</v>
      </c>
      <c r="H22" s="323">
        <v>10</v>
      </c>
    </row>
    <row r="23" spans="1:8" ht="15.75">
      <c r="A23" s="713">
        <v>26</v>
      </c>
      <c r="B23" s="321" t="s">
        <v>209</v>
      </c>
      <c r="C23" s="321">
        <v>20</v>
      </c>
      <c r="D23" s="435">
        <f t="shared" si="0"/>
        <v>25</v>
      </c>
      <c r="E23" s="322">
        <v>0</v>
      </c>
      <c r="F23" s="321">
        <v>0</v>
      </c>
      <c r="G23" s="321">
        <v>10</v>
      </c>
      <c r="H23" s="323">
        <v>15</v>
      </c>
    </row>
    <row r="24" spans="1:8" ht="15.75">
      <c r="A24" s="713">
        <v>27</v>
      </c>
      <c r="B24" s="321" t="s">
        <v>210</v>
      </c>
      <c r="C24" s="321">
        <v>40</v>
      </c>
      <c r="D24" s="435">
        <f t="shared" si="0"/>
        <v>60</v>
      </c>
      <c r="E24" s="322">
        <v>10</v>
      </c>
      <c r="F24" s="321">
        <v>10</v>
      </c>
      <c r="G24" s="321">
        <v>20</v>
      </c>
      <c r="H24" s="323">
        <v>20</v>
      </c>
    </row>
    <row r="25" spans="1:8" ht="15.75">
      <c r="A25" s="713">
        <v>28</v>
      </c>
      <c r="B25" s="321" t="s">
        <v>211</v>
      </c>
      <c r="C25" s="321">
        <v>40</v>
      </c>
      <c r="D25" s="435">
        <f t="shared" si="0"/>
        <v>60</v>
      </c>
      <c r="E25" s="322">
        <v>10</v>
      </c>
      <c r="F25" s="321">
        <v>10</v>
      </c>
      <c r="G25" s="321">
        <v>20</v>
      </c>
      <c r="H25" s="323">
        <v>20</v>
      </c>
    </row>
    <row r="26" spans="1:8" ht="15.75">
      <c r="A26" s="713">
        <v>29</v>
      </c>
      <c r="B26" s="321" t="s">
        <v>212</v>
      </c>
      <c r="C26" s="321">
        <v>20</v>
      </c>
      <c r="D26" s="435">
        <f t="shared" si="0"/>
        <v>20</v>
      </c>
      <c r="E26" s="322">
        <v>5</v>
      </c>
      <c r="F26" s="321">
        <v>5</v>
      </c>
      <c r="G26" s="321">
        <v>5</v>
      </c>
      <c r="H26" s="323">
        <v>5</v>
      </c>
    </row>
    <row r="27" spans="1:8" ht="15.75">
      <c r="A27" s="713">
        <v>30</v>
      </c>
      <c r="B27" s="321" t="s">
        <v>213</v>
      </c>
      <c r="C27" s="321">
        <v>20</v>
      </c>
      <c r="D27" s="435">
        <f t="shared" si="0"/>
        <v>20</v>
      </c>
      <c r="E27" s="322">
        <v>5</v>
      </c>
      <c r="F27" s="321">
        <v>5</v>
      </c>
      <c r="G27" s="321">
        <v>5</v>
      </c>
      <c r="H27" s="323">
        <v>5</v>
      </c>
    </row>
    <row r="28" spans="1:8" ht="15.75">
      <c r="A28" s="713">
        <v>31</v>
      </c>
      <c r="B28" s="321" t="s">
        <v>214</v>
      </c>
      <c r="C28" s="321">
        <v>30</v>
      </c>
      <c r="D28" s="435">
        <f t="shared" si="0"/>
        <v>30</v>
      </c>
      <c r="E28" s="322">
        <v>5</v>
      </c>
      <c r="F28" s="321">
        <v>5</v>
      </c>
      <c r="G28" s="321">
        <v>10</v>
      </c>
      <c r="H28" s="323">
        <v>10</v>
      </c>
    </row>
    <row r="29" spans="1:8" ht="15.75">
      <c r="A29" s="713">
        <v>32</v>
      </c>
      <c r="B29" s="321" t="s">
        <v>215</v>
      </c>
      <c r="C29" s="321">
        <v>20</v>
      </c>
      <c r="D29" s="435">
        <f t="shared" si="0"/>
        <v>20</v>
      </c>
      <c r="E29" s="322">
        <v>0</v>
      </c>
      <c r="F29" s="321">
        <v>0</v>
      </c>
      <c r="G29" s="321">
        <v>10</v>
      </c>
      <c r="H29" s="323">
        <v>10</v>
      </c>
    </row>
    <row r="30" spans="1:8" ht="15.75">
      <c r="A30" s="713">
        <v>33</v>
      </c>
      <c r="B30" s="321" t="s">
        <v>216</v>
      </c>
      <c r="C30" s="321">
        <v>20</v>
      </c>
      <c r="D30" s="435">
        <f t="shared" si="0"/>
        <v>20</v>
      </c>
      <c r="E30" s="322">
        <v>5</v>
      </c>
      <c r="F30" s="321">
        <v>5</v>
      </c>
      <c r="G30" s="321">
        <v>0</v>
      </c>
      <c r="H30" s="323">
        <v>10</v>
      </c>
    </row>
    <row r="31" spans="1:8" ht="15.75">
      <c r="A31" s="713">
        <v>34</v>
      </c>
      <c r="B31" s="321" t="s">
        <v>217</v>
      </c>
      <c r="C31" s="321">
        <v>20</v>
      </c>
      <c r="D31" s="435">
        <f t="shared" si="0"/>
        <v>20</v>
      </c>
      <c r="E31" s="322">
        <v>0</v>
      </c>
      <c r="F31" s="321">
        <v>0</v>
      </c>
      <c r="G31" s="321">
        <v>10</v>
      </c>
      <c r="H31" s="323">
        <v>10</v>
      </c>
    </row>
    <row r="32" spans="1:8" ht="15.75">
      <c r="A32" s="713">
        <v>35</v>
      </c>
      <c r="B32" s="321" t="s">
        <v>218</v>
      </c>
      <c r="C32" s="321">
        <v>30</v>
      </c>
      <c r="D32" s="435">
        <f t="shared" si="0"/>
        <v>40</v>
      </c>
      <c r="E32" s="322">
        <v>10</v>
      </c>
      <c r="F32" s="321">
        <v>0</v>
      </c>
      <c r="G32" s="321">
        <v>20</v>
      </c>
      <c r="H32" s="323">
        <v>10</v>
      </c>
    </row>
    <row r="33" spans="1:9" ht="15.75">
      <c r="A33" s="713">
        <v>36</v>
      </c>
      <c r="B33" s="321" t="s">
        <v>219</v>
      </c>
      <c r="C33" s="321">
        <v>20</v>
      </c>
      <c r="D33" s="435">
        <f t="shared" si="0"/>
        <v>35</v>
      </c>
      <c r="E33" s="322">
        <v>10</v>
      </c>
      <c r="F33" s="321">
        <v>0</v>
      </c>
      <c r="G33" s="321">
        <v>20</v>
      </c>
      <c r="H33" s="323">
        <v>5</v>
      </c>
    </row>
    <row r="34" spans="1:9" ht="15.75">
      <c r="A34" s="713">
        <v>37</v>
      </c>
      <c r="B34" s="321" t="s">
        <v>220</v>
      </c>
      <c r="C34" s="321">
        <v>30</v>
      </c>
      <c r="D34" s="435">
        <f t="shared" si="0"/>
        <v>35</v>
      </c>
      <c r="E34" s="322">
        <v>5</v>
      </c>
      <c r="F34" s="321">
        <v>0</v>
      </c>
      <c r="G34" s="321">
        <v>20</v>
      </c>
      <c r="H34" s="323">
        <v>10</v>
      </c>
    </row>
    <row r="35" spans="1:9" ht="15.75">
      <c r="A35" s="713">
        <v>38</v>
      </c>
      <c r="B35" s="321" t="s">
        <v>221</v>
      </c>
      <c r="C35" s="321">
        <v>20</v>
      </c>
      <c r="D35" s="435">
        <f t="shared" si="0"/>
        <v>25</v>
      </c>
      <c r="E35" s="322">
        <v>5</v>
      </c>
      <c r="F35" s="321">
        <v>0</v>
      </c>
      <c r="G35" s="321">
        <v>15</v>
      </c>
      <c r="H35" s="323">
        <v>5</v>
      </c>
    </row>
    <row r="36" spans="1:9" ht="15.75">
      <c r="A36" s="713">
        <v>39</v>
      </c>
      <c r="B36" s="321" t="s">
        <v>222</v>
      </c>
      <c r="C36" s="321">
        <v>20</v>
      </c>
      <c r="D36" s="435">
        <f t="shared" si="0"/>
        <v>35</v>
      </c>
      <c r="E36" s="322">
        <v>10</v>
      </c>
      <c r="F36" s="321">
        <v>0</v>
      </c>
      <c r="G36" s="321">
        <v>15</v>
      </c>
      <c r="H36" s="323">
        <v>10</v>
      </c>
    </row>
    <row r="37" spans="1:9" ht="15.75">
      <c r="A37" s="713">
        <v>40</v>
      </c>
      <c r="B37" s="321" t="s">
        <v>223</v>
      </c>
      <c r="C37" s="321">
        <v>25</v>
      </c>
      <c r="D37" s="435">
        <f t="shared" si="0"/>
        <v>45</v>
      </c>
      <c r="E37" s="322">
        <v>10</v>
      </c>
      <c r="F37" s="321">
        <v>5</v>
      </c>
      <c r="G37" s="321">
        <v>10</v>
      </c>
      <c r="H37" s="323">
        <v>20</v>
      </c>
    </row>
    <row r="38" spans="1:9" ht="15.75">
      <c r="A38" s="713">
        <v>41</v>
      </c>
      <c r="B38" s="321" t="s">
        <v>224</v>
      </c>
      <c r="C38" s="321">
        <v>30</v>
      </c>
      <c r="D38" s="435">
        <f t="shared" si="0"/>
        <v>50</v>
      </c>
      <c r="E38" s="322">
        <v>5</v>
      </c>
      <c r="F38" s="321">
        <v>5</v>
      </c>
      <c r="G38" s="321">
        <v>20</v>
      </c>
      <c r="H38" s="323">
        <v>20</v>
      </c>
    </row>
    <row r="39" spans="1:9" ht="16.5" thickBot="1">
      <c r="A39" s="459">
        <v>60</v>
      </c>
      <c r="B39" s="326" t="s">
        <v>241</v>
      </c>
      <c r="C39" s="326">
        <v>25</v>
      </c>
      <c r="D39" s="436">
        <f t="shared" si="0"/>
        <v>25</v>
      </c>
      <c r="E39" s="327">
        <v>3</v>
      </c>
      <c r="F39" s="326">
        <v>3</v>
      </c>
      <c r="G39" s="326">
        <v>9</v>
      </c>
      <c r="H39" s="328">
        <v>10</v>
      </c>
    </row>
    <row r="40" spans="1:9" ht="16.5" thickBot="1">
      <c r="A40" s="1081" t="s">
        <v>259</v>
      </c>
      <c r="B40" s="1082"/>
      <c r="C40" s="711">
        <f t="shared" ref="C40:H40" si="1">SUM(C5:C39)</f>
        <v>970</v>
      </c>
      <c r="D40" s="739">
        <f t="shared" si="1"/>
        <v>1225</v>
      </c>
      <c r="E40" s="528">
        <f t="shared" si="1"/>
        <v>218</v>
      </c>
      <c r="F40" s="711">
        <f t="shared" si="1"/>
        <v>153</v>
      </c>
      <c r="G40" s="529">
        <f t="shared" si="1"/>
        <v>429</v>
      </c>
      <c r="H40" s="530">
        <f t="shared" si="1"/>
        <v>425</v>
      </c>
    </row>
    <row r="41" spans="1:9" ht="15.75">
      <c r="A41" s="1085" t="s">
        <v>256</v>
      </c>
      <c r="B41" s="1086"/>
      <c r="C41" s="1086"/>
      <c r="D41" s="1086"/>
      <c r="E41" s="531">
        <v>100</v>
      </c>
      <c r="F41" s="531">
        <v>100</v>
      </c>
      <c r="G41" s="531">
        <v>100</v>
      </c>
      <c r="H41" s="532">
        <v>150</v>
      </c>
    </row>
    <row r="42" spans="1:9" ht="16.5" thickBot="1">
      <c r="A42" s="1087" t="s">
        <v>258</v>
      </c>
      <c r="B42" s="1088"/>
      <c r="C42" s="1088"/>
      <c r="D42" s="1088"/>
      <c r="E42" s="448">
        <f>E40*E41</f>
        <v>21800</v>
      </c>
      <c r="F42" s="448">
        <f>F40*F41</f>
        <v>15300</v>
      </c>
      <c r="G42" s="448">
        <f>G40*G41</f>
        <v>42900</v>
      </c>
      <c r="H42" s="464">
        <f>H40*H41</f>
        <v>63750</v>
      </c>
    </row>
    <row r="43" spans="1:9" ht="16.5" thickBot="1">
      <c r="A43" s="1087" t="s">
        <v>261</v>
      </c>
      <c r="B43" s="1088"/>
      <c r="C43" s="1088"/>
      <c r="D43" s="1088"/>
      <c r="E43" s="343">
        <v>0.8</v>
      </c>
      <c r="F43" s="343">
        <v>0.8</v>
      </c>
      <c r="G43" s="343">
        <v>0.8</v>
      </c>
      <c r="H43" s="502">
        <v>0.8</v>
      </c>
      <c r="I43" s="778" t="s">
        <v>259</v>
      </c>
    </row>
    <row r="44" spans="1:9" ht="16.5" thickBot="1">
      <c r="A44" s="1087" t="s">
        <v>416</v>
      </c>
      <c r="B44" s="1088"/>
      <c r="C44" s="1088"/>
      <c r="D44" s="1088"/>
      <c r="E44" s="448">
        <f>E42*E43</f>
        <v>17440</v>
      </c>
      <c r="F44" s="448">
        <f t="shared" ref="F44:H44" si="2">F42*F43</f>
        <v>12240</v>
      </c>
      <c r="G44" s="448">
        <f t="shared" si="2"/>
        <v>34320</v>
      </c>
      <c r="H44" s="464">
        <f t="shared" si="2"/>
        <v>51000</v>
      </c>
      <c r="I44" s="777">
        <f>SUM(E44:H44)</f>
        <v>115000</v>
      </c>
    </row>
    <row r="45" spans="1:9" ht="16.5" thickBot="1">
      <c r="A45" s="1089" t="s">
        <v>417</v>
      </c>
      <c r="B45" s="1090"/>
      <c r="C45" s="1090"/>
      <c r="D45" s="1090"/>
      <c r="E45" s="343">
        <v>0.1</v>
      </c>
      <c r="F45" s="343">
        <v>0.1</v>
      </c>
      <c r="G45" s="343">
        <v>0.1</v>
      </c>
      <c r="H45" s="502">
        <v>0.1</v>
      </c>
    </row>
    <row r="46" spans="1:9" ht="16.5" thickBot="1">
      <c r="A46" s="1083" t="s">
        <v>418</v>
      </c>
      <c r="B46" s="1084"/>
      <c r="C46" s="1084"/>
      <c r="D46" s="1084"/>
      <c r="E46" s="775">
        <f>(1-E45)*E44</f>
        <v>15696</v>
      </c>
      <c r="F46" s="775">
        <f t="shared" ref="F46:H46" si="3">(1-F45)*F44</f>
        <v>11016</v>
      </c>
      <c r="G46" s="775">
        <f t="shared" si="3"/>
        <v>30888</v>
      </c>
      <c r="H46" s="776">
        <f t="shared" si="3"/>
        <v>45900</v>
      </c>
      <c r="I46" s="777">
        <f>SUM(E46:H46)</f>
        <v>103500</v>
      </c>
    </row>
    <row r="48" spans="1:9" ht="13.5" thickBot="1"/>
    <row r="49" spans="1:19" ht="16.5" thickBot="1">
      <c r="A49" s="1059" t="s">
        <v>248</v>
      </c>
      <c r="B49" s="1043" t="s">
        <v>119</v>
      </c>
      <c r="C49" s="1021" t="s">
        <v>412</v>
      </c>
      <c r="D49" s="1022"/>
      <c r="E49" s="1022"/>
      <c r="F49" s="1022"/>
      <c r="G49" s="1022"/>
      <c r="H49" s="1022"/>
      <c r="I49" s="1022"/>
      <c r="J49" s="1022"/>
      <c r="K49" s="1022"/>
      <c r="L49" s="1022"/>
      <c r="M49" s="1022"/>
      <c r="N49" s="1023"/>
    </row>
    <row r="50" spans="1:19" ht="16.5" thickBot="1">
      <c r="A50" s="1060"/>
      <c r="B50" s="1044"/>
      <c r="C50" s="372">
        <v>44652</v>
      </c>
      <c r="D50" s="373">
        <v>44682</v>
      </c>
      <c r="E50" s="408">
        <v>44713</v>
      </c>
      <c r="F50" s="373">
        <v>44743</v>
      </c>
      <c r="G50" s="408">
        <v>44774</v>
      </c>
      <c r="H50" s="373">
        <v>44805</v>
      </c>
      <c r="I50" s="408">
        <v>44835</v>
      </c>
      <c r="J50" s="373">
        <v>44866</v>
      </c>
      <c r="K50" s="408">
        <v>44896</v>
      </c>
      <c r="L50" s="373">
        <v>44927</v>
      </c>
      <c r="M50" s="408">
        <v>44958</v>
      </c>
      <c r="N50" s="409">
        <v>44986</v>
      </c>
    </row>
    <row r="51" spans="1:19" ht="15.75">
      <c r="A51" s="1058" t="s">
        <v>354</v>
      </c>
      <c r="B51" s="374" t="s">
        <v>359</v>
      </c>
      <c r="C51" s="410"/>
      <c r="D51" s="410"/>
      <c r="E51" s="410"/>
      <c r="F51" s="410">
        <v>0.2</v>
      </c>
      <c r="G51" s="410">
        <v>0.3</v>
      </c>
      <c r="H51" s="410">
        <v>0.5</v>
      </c>
      <c r="I51" s="410"/>
      <c r="J51" s="410"/>
      <c r="K51" s="410"/>
      <c r="L51" s="410"/>
      <c r="M51" s="410"/>
      <c r="N51" s="411"/>
    </row>
    <row r="52" spans="1:19" ht="15.75">
      <c r="A52" s="1004"/>
      <c r="B52" s="377" t="s">
        <v>360</v>
      </c>
      <c r="C52" s="381"/>
      <c r="D52" s="381"/>
      <c r="E52" s="381"/>
      <c r="F52" s="381"/>
      <c r="G52" s="381"/>
      <c r="H52" s="381">
        <v>0.3</v>
      </c>
      <c r="I52" s="381">
        <v>0.2</v>
      </c>
      <c r="J52" s="381">
        <v>0.5</v>
      </c>
      <c r="K52" s="381"/>
      <c r="L52" s="381"/>
      <c r="M52" s="381"/>
      <c r="N52" s="382"/>
    </row>
    <row r="53" spans="1:19" ht="15.75">
      <c r="A53" s="1004"/>
      <c r="B53" s="377" t="s">
        <v>361</v>
      </c>
      <c r="C53" s="381"/>
      <c r="D53" s="381"/>
      <c r="E53" s="381"/>
      <c r="F53" s="381"/>
      <c r="G53" s="381">
        <v>0.5</v>
      </c>
      <c r="H53" s="381">
        <v>0.3</v>
      </c>
      <c r="I53" s="381">
        <v>0.2</v>
      </c>
      <c r="J53" s="381"/>
      <c r="K53" s="381"/>
      <c r="L53" s="381"/>
      <c r="M53" s="381"/>
      <c r="N53" s="382"/>
    </row>
    <row r="54" spans="1:19" ht="16.5" thickBot="1">
      <c r="A54" s="1005"/>
      <c r="B54" s="383" t="s">
        <v>362</v>
      </c>
      <c r="C54" s="384"/>
      <c r="D54" s="384"/>
      <c r="E54" s="384">
        <v>0.7</v>
      </c>
      <c r="F54" s="384">
        <v>0.1</v>
      </c>
      <c r="G54" s="384">
        <v>0.2</v>
      </c>
      <c r="H54" s="384"/>
      <c r="I54" s="384"/>
      <c r="J54" s="384"/>
      <c r="K54" s="384"/>
      <c r="L54" s="384"/>
      <c r="M54" s="384"/>
      <c r="N54" s="385"/>
    </row>
    <row r="57" spans="1:19" ht="13.5" thickBot="1"/>
    <row r="58" spans="1:19" ht="16.5" thickBot="1">
      <c r="A58" s="1006" t="s">
        <v>318</v>
      </c>
      <c r="B58" s="1009" t="s">
        <v>319</v>
      </c>
      <c r="C58" s="1012" t="s">
        <v>363</v>
      </c>
      <c r="D58" s="1013"/>
      <c r="E58" s="1013"/>
      <c r="F58" s="1013"/>
      <c r="G58" s="1013"/>
      <c r="H58" s="1013"/>
      <c r="I58" s="1013"/>
      <c r="J58" s="1013"/>
      <c r="K58" s="1013"/>
      <c r="L58" s="1013"/>
      <c r="M58" s="1013"/>
      <c r="N58" s="1013"/>
      <c r="O58" s="1043" t="s">
        <v>337</v>
      </c>
      <c r="P58" s="355"/>
      <c r="Q58" s="355"/>
      <c r="R58" s="355"/>
      <c r="S58" s="1091"/>
    </row>
    <row r="59" spans="1:19" ht="16.5" thickBot="1">
      <c r="A59" s="1007"/>
      <c r="B59" s="1010"/>
      <c r="C59" s="1014" t="s">
        <v>264</v>
      </c>
      <c r="D59" s="1015"/>
      <c r="E59" s="1016"/>
      <c r="F59" s="1014" t="s">
        <v>263</v>
      </c>
      <c r="G59" s="1015"/>
      <c r="H59" s="1016"/>
      <c r="I59" s="1014" t="s">
        <v>265</v>
      </c>
      <c r="J59" s="1015"/>
      <c r="K59" s="1016"/>
      <c r="L59" s="1014" t="s">
        <v>269</v>
      </c>
      <c r="M59" s="1015"/>
      <c r="N59" s="1015"/>
      <c r="O59" s="1073"/>
      <c r="P59" s="1092"/>
      <c r="Q59" s="1092"/>
      <c r="R59" s="1092"/>
      <c r="S59" s="1091"/>
    </row>
    <row r="60" spans="1:19" ht="16.5" thickBot="1">
      <c r="A60" s="1008"/>
      <c r="B60" s="1011"/>
      <c r="C60" s="391" t="s">
        <v>266</v>
      </c>
      <c r="D60" s="333" t="s">
        <v>267</v>
      </c>
      <c r="E60" s="334" t="s">
        <v>268</v>
      </c>
      <c r="F60" s="391" t="s">
        <v>266</v>
      </c>
      <c r="G60" s="333" t="s">
        <v>267</v>
      </c>
      <c r="H60" s="334" t="s">
        <v>268</v>
      </c>
      <c r="I60" s="391" t="s">
        <v>266</v>
      </c>
      <c r="J60" s="333" t="s">
        <v>267</v>
      </c>
      <c r="K60" s="334" t="s">
        <v>268</v>
      </c>
      <c r="L60" s="391" t="s">
        <v>266</v>
      </c>
      <c r="M60" s="333" t="s">
        <v>267</v>
      </c>
      <c r="N60" s="392" t="s">
        <v>268</v>
      </c>
      <c r="O60" s="1073"/>
      <c r="P60" s="1092"/>
      <c r="Q60" s="1092"/>
      <c r="R60" s="1092"/>
      <c r="S60" s="1091"/>
    </row>
    <row r="61" spans="1:19" ht="15.75">
      <c r="A61" s="1058" t="s">
        <v>354</v>
      </c>
      <c r="B61" s="374" t="s">
        <v>359</v>
      </c>
      <c r="C61" s="417">
        <v>75</v>
      </c>
      <c r="D61" s="374">
        <v>76</v>
      </c>
      <c r="E61" s="376">
        <v>78</v>
      </c>
      <c r="F61" s="417">
        <v>110</v>
      </c>
      <c r="G61" s="374">
        <v>112</v>
      </c>
      <c r="H61" s="376">
        <v>114</v>
      </c>
      <c r="I61" s="417">
        <v>95</v>
      </c>
      <c r="J61" s="374">
        <v>98</v>
      </c>
      <c r="K61" s="376">
        <v>99</v>
      </c>
      <c r="L61" s="417">
        <v>70</v>
      </c>
      <c r="M61" s="374">
        <v>70</v>
      </c>
      <c r="N61" s="376">
        <v>70</v>
      </c>
      <c r="O61" s="402">
        <v>0.05</v>
      </c>
      <c r="P61" s="352"/>
      <c r="Q61" s="352"/>
      <c r="R61" s="352"/>
      <c r="S61" s="618"/>
    </row>
    <row r="62" spans="1:19" ht="15.75">
      <c r="A62" s="1004"/>
      <c r="B62" s="377" t="s">
        <v>360</v>
      </c>
      <c r="C62" s="400">
        <v>75</v>
      </c>
      <c r="D62" s="377">
        <v>75</v>
      </c>
      <c r="E62" s="379">
        <v>75</v>
      </c>
      <c r="F62" s="400">
        <v>75</v>
      </c>
      <c r="G62" s="377">
        <v>75</v>
      </c>
      <c r="H62" s="379">
        <v>75</v>
      </c>
      <c r="I62" s="400">
        <v>75</v>
      </c>
      <c r="J62" s="377">
        <v>75</v>
      </c>
      <c r="K62" s="379">
        <v>75</v>
      </c>
      <c r="L62" s="400">
        <v>75</v>
      </c>
      <c r="M62" s="377">
        <v>75</v>
      </c>
      <c r="N62" s="379">
        <v>75</v>
      </c>
      <c r="O62" s="402">
        <v>0.05</v>
      </c>
      <c r="P62" s="352"/>
      <c r="Q62" s="352"/>
      <c r="R62" s="352"/>
      <c r="S62" s="618"/>
    </row>
    <row r="63" spans="1:19" ht="15.75">
      <c r="A63" s="1004"/>
      <c r="B63" s="377" t="s">
        <v>361</v>
      </c>
      <c r="C63" s="400">
        <v>60</v>
      </c>
      <c r="D63" s="377">
        <v>60</v>
      </c>
      <c r="E63" s="379">
        <v>60</v>
      </c>
      <c r="F63" s="400">
        <v>60</v>
      </c>
      <c r="G63" s="377">
        <v>60</v>
      </c>
      <c r="H63" s="379">
        <v>60</v>
      </c>
      <c r="I63" s="400">
        <v>60</v>
      </c>
      <c r="J63" s="377">
        <v>60</v>
      </c>
      <c r="K63" s="379">
        <v>60</v>
      </c>
      <c r="L63" s="400">
        <v>60</v>
      </c>
      <c r="M63" s="377">
        <v>60</v>
      </c>
      <c r="N63" s="379">
        <v>60</v>
      </c>
      <c r="O63" s="402">
        <v>0.05</v>
      </c>
      <c r="P63" s="352"/>
      <c r="Q63" s="352"/>
      <c r="R63" s="352"/>
      <c r="S63" s="618"/>
    </row>
    <row r="64" spans="1:19" ht="16.5" thickBot="1">
      <c r="A64" s="1005"/>
      <c r="B64" s="619" t="s">
        <v>362</v>
      </c>
      <c r="C64" s="404">
        <v>30</v>
      </c>
      <c r="D64" s="383">
        <v>30</v>
      </c>
      <c r="E64" s="405">
        <v>30</v>
      </c>
      <c r="F64" s="404">
        <v>30</v>
      </c>
      <c r="G64" s="383">
        <v>30</v>
      </c>
      <c r="H64" s="405">
        <v>30</v>
      </c>
      <c r="I64" s="404">
        <v>30</v>
      </c>
      <c r="J64" s="383">
        <v>30</v>
      </c>
      <c r="K64" s="405">
        <v>30</v>
      </c>
      <c r="L64" s="404">
        <v>30</v>
      </c>
      <c r="M64" s="383">
        <v>30</v>
      </c>
      <c r="N64" s="405">
        <v>30</v>
      </c>
      <c r="O64" s="407">
        <v>0.05</v>
      </c>
      <c r="P64" s="352"/>
      <c r="Q64" s="352"/>
      <c r="R64" s="352"/>
      <c r="S64" s="618"/>
    </row>
    <row r="70" spans="1:23" ht="13.5" thickBot="1"/>
    <row r="71" spans="1:23" ht="16.5" thickBot="1">
      <c r="A71" s="1104" t="s">
        <v>364</v>
      </c>
      <c r="B71" s="1106" t="s">
        <v>365</v>
      </c>
      <c r="C71" s="1100" t="s">
        <v>366</v>
      </c>
      <c r="D71" s="1102" t="s">
        <v>367</v>
      </c>
      <c r="E71" s="1053" t="s">
        <v>410</v>
      </c>
      <c r="F71" s="1055"/>
      <c r="G71" s="355"/>
      <c r="H71" s="355"/>
      <c r="I71" s="355"/>
      <c r="J71" s="355"/>
      <c r="K71" s="355"/>
      <c r="L71" s="355"/>
      <c r="M71" s="355"/>
      <c r="N71" s="355"/>
      <c r="O71" s="355"/>
      <c r="P71" s="355"/>
      <c r="Q71" s="355"/>
      <c r="R71" s="355"/>
      <c r="S71" s="355"/>
      <c r="T71" s="740"/>
      <c r="U71" s="740"/>
    </row>
    <row r="72" spans="1:23" ht="16.5" thickBot="1">
      <c r="A72" s="1105"/>
      <c r="B72" s="1107"/>
      <c r="C72" s="1101"/>
      <c r="D72" s="1103"/>
      <c r="E72" s="741" t="s">
        <v>368</v>
      </c>
      <c r="F72" s="742" t="s">
        <v>369</v>
      </c>
      <c r="G72" s="743"/>
      <c r="H72" s="389"/>
      <c r="I72" s="390"/>
      <c r="J72" s="389"/>
      <c r="K72" s="390"/>
      <c r="L72" s="389"/>
      <c r="M72" s="390"/>
      <c r="N72" s="389"/>
      <c r="O72" s="390"/>
      <c r="P72" s="389"/>
      <c r="Q72" s="390"/>
      <c r="R72" s="389"/>
      <c r="S72" s="390"/>
      <c r="T72" s="740"/>
    </row>
    <row r="73" spans="1:23" s="750" customFormat="1" ht="15.75">
      <c r="A73" s="1097" t="s">
        <v>413</v>
      </c>
      <c r="B73" s="744" t="s">
        <v>371</v>
      </c>
      <c r="C73" s="745" t="s">
        <v>372</v>
      </c>
      <c r="D73" s="746" t="s">
        <v>373</v>
      </c>
      <c r="E73" s="779"/>
      <c r="F73" s="780"/>
      <c r="G73" s="747"/>
      <c r="H73" s="616"/>
      <c r="I73" s="616"/>
      <c r="J73" s="616"/>
      <c r="K73" s="616"/>
      <c r="L73" s="616"/>
      <c r="M73" s="616"/>
      <c r="N73" s="616"/>
      <c r="O73" s="616"/>
      <c r="P73" s="616"/>
      <c r="Q73" s="616"/>
      <c r="R73" s="616"/>
      <c r="S73" s="616"/>
      <c r="T73" s="748"/>
      <c r="U73" s="749"/>
      <c r="V73" s="749"/>
      <c r="W73" s="749"/>
    </row>
    <row r="74" spans="1:23" s="757" customFormat="1" ht="15.75">
      <c r="A74" s="1098"/>
      <c r="B74" s="751" t="s">
        <v>430</v>
      </c>
      <c r="C74" s="752" t="s">
        <v>372</v>
      </c>
      <c r="D74" s="753" t="s">
        <v>373</v>
      </c>
      <c r="E74" s="754">
        <v>0.1</v>
      </c>
      <c r="F74" s="781"/>
      <c r="G74" s="747"/>
      <c r="H74" s="617"/>
      <c r="I74" s="617"/>
      <c r="J74" s="617"/>
      <c r="K74" s="617"/>
      <c r="L74" s="617"/>
      <c r="M74" s="617"/>
      <c r="N74" s="617"/>
      <c r="O74" s="617"/>
      <c r="P74" s="617"/>
      <c r="Q74" s="617"/>
      <c r="R74" s="617"/>
      <c r="S74" s="617"/>
      <c r="T74" s="755"/>
      <c r="U74" s="756"/>
      <c r="V74" s="756"/>
      <c r="W74" s="756"/>
    </row>
    <row r="75" spans="1:23" s="750" customFormat="1" ht="15.75">
      <c r="A75" s="1098"/>
      <c r="B75" s="758" t="s">
        <v>374</v>
      </c>
      <c r="C75" s="752" t="s">
        <v>372</v>
      </c>
      <c r="D75" s="753" t="s">
        <v>375</v>
      </c>
      <c r="E75" s="759">
        <v>5</v>
      </c>
      <c r="F75" s="782"/>
      <c r="G75" s="747"/>
      <c r="H75" s="616"/>
      <c r="I75" s="616"/>
      <c r="J75" s="616"/>
      <c r="K75" s="616"/>
      <c r="L75" s="616"/>
      <c r="M75" s="616"/>
      <c r="N75" s="616"/>
      <c r="O75" s="616"/>
      <c r="P75" s="616"/>
      <c r="Q75" s="616"/>
      <c r="R75" s="616"/>
      <c r="S75" s="616"/>
      <c r="T75" s="748"/>
      <c r="U75" s="749"/>
      <c r="V75" s="749"/>
      <c r="W75" s="749"/>
    </row>
    <row r="76" spans="1:23" s="750" customFormat="1" ht="30">
      <c r="A76" s="1098"/>
      <c r="B76" s="758" t="s">
        <v>376</v>
      </c>
      <c r="C76" s="752" t="s">
        <v>372</v>
      </c>
      <c r="D76" s="753" t="s">
        <v>375</v>
      </c>
      <c r="E76" s="759">
        <v>20</v>
      </c>
      <c r="F76" s="783"/>
      <c r="G76" s="747"/>
      <c r="H76" s="616"/>
      <c r="I76" s="616"/>
      <c r="J76" s="616"/>
      <c r="K76" s="616"/>
      <c r="L76" s="616"/>
      <c r="M76" s="616"/>
      <c r="N76" s="616"/>
      <c r="O76" s="616"/>
      <c r="P76" s="616"/>
      <c r="Q76" s="616"/>
      <c r="R76" s="616"/>
      <c r="S76" s="616"/>
      <c r="T76" s="748"/>
      <c r="U76" s="749"/>
      <c r="V76" s="749"/>
      <c r="W76" s="749"/>
    </row>
    <row r="77" spans="1:23" s="750" customFormat="1" ht="30">
      <c r="A77" s="1098"/>
      <c r="B77" s="758" t="s">
        <v>377</v>
      </c>
      <c r="C77" s="752" t="s">
        <v>372</v>
      </c>
      <c r="D77" s="753" t="s">
        <v>378</v>
      </c>
      <c r="E77" s="759">
        <v>18000</v>
      </c>
      <c r="F77" s="760">
        <v>4</v>
      </c>
      <c r="G77" s="747"/>
      <c r="H77" s="616"/>
      <c r="I77" s="616"/>
      <c r="J77" s="616"/>
      <c r="K77" s="616"/>
      <c r="L77" s="616"/>
      <c r="M77" s="616"/>
      <c r="N77" s="616"/>
      <c r="O77" s="616"/>
      <c r="P77" s="616"/>
      <c r="Q77" s="616"/>
      <c r="R77" s="616"/>
      <c r="S77" s="616"/>
      <c r="T77" s="748"/>
      <c r="U77" s="749"/>
      <c r="V77" s="749"/>
      <c r="W77" s="749"/>
    </row>
    <row r="78" spans="1:23" s="750" customFormat="1" ht="30">
      <c r="A78" s="1098"/>
      <c r="B78" s="758" t="s">
        <v>379</v>
      </c>
      <c r="C78" s="752" t="s">
        <v>372</v>
      </c>
      <c r="D78" s="753" t="s">
        <v>380</v>
      </c>
      <c r="E78" s="759">
        <v>2000</v>
      </c>
      <c r="F78" s="782"/>
      <c r="G78" s="747"/>
      <c r="H78" s="616"/>
      <c r="I78" s="616"/>
      <c r="J78" s="616"/>
      <c r="K78" s="616"/>
      <c r="L78" s="616"/>
      <c r="M78" s="616"/>
      <c r="N78" s="616"/>
      <c r="O78" s="616"/>
      <c r="P78" s="616"/>
      <c r="Q78" s="616"/>
      <c r="R78" s="616"/>
      <c r="S78" s="616"/>
      <c r="T78" s="748"/>
      <c r="U78" s="749"/>
      <c r="V78" s="749"/>
      <c r="W78" s="749"/>
    </row>
    <row r="79" spans="1:23" s="750" customFormat="1" ht="15.75">
      <c r="A79" s="1098" t="s">
        <v>381</v>
      </c>
      <c r="B79" s="758" t="s">
        <v>382</v>
      </c>
      <c r="C79" s="752" t="s">
        <v>372</v>
      </c>
      <c r="D79" s="753" t="s">
        <v>383</v>
      </c>
      <c r="E79" s="759">
        <v>3</v>
      </c>
      <c r="F79" s="782"/>
      <c r="G79" s="747"/>
      <c r="H79" s="616"/>
      <c r="I79" s="616"/>
      <c r="J79" s="616"/>
      <c r="K79" s="616"/>
      <c r="L79" s="616"/>
      <c r="M79" s="616"/>
      <c r="N79" s="616"/>
      <c r="O79" s="616"/>
      <c r="P79" s="616"/>
      <c r="Q79" s="616"/>
      <c r="R79" s="616"/>
      <c r="S79" s="616"/>
      <c r="T79" s="748"/>
      <c r="U79" s="749"/>
      <c r="V79" s="749"/>
      <c r="W79" s="749"/>
    </row>
    <row r="80" spans="1:23" s="750" customFormat="1" ht="15.75">
      <c r="A80" s="1098"/>
      <c r="B80" s="761" t="s">
        <v>384</v>
      </c>
      <c r="C80" s="762" t="s">
        <v>385</v>
      </c>
      <c r="D80" s="763" t="s">
        <v>386</v>
      </c>
      <c r="E80" s="764">
        <v>180000</v>
      </c>
      <c r="F80" s="765">
        <v>1</v>
      </c>
      <c r="G80" s="747"/>
      <c r="H80" s="616"/>
      <c r="I80" s="616"/>
      <c r="J80" s="616"/>
      <c r="K80" s="616"/>
      <c r="L80" s="616"/>
      <c r="M80" s="616"/>
      <c r="N80" s="616"/>
      <c r="O80" s="616"/>
      <c r="P80" s="616"/>
      <c r="Q80" s="616"/>
      <c r="R80" s="616"/>
      <c r="S80" s="616"/>
      <c r="T80" s="748"/>
      <c r="U80" s="749"/>
      <c r="V80" s="749"/>
      <c r="W80" s="749"/>
    </row>
    <row r="81" spans="1:23" s="750" customFormat="1" ht="15.75">
      <c r="A81" s="1098"/>
      <c r="B81" s="761" t="s">
        <v>387</v>
      </c>
      <c r="C81" s="762" t="s">
        <v>385</v>
      </c>
      <c r="D81" s="763" t="s">
        <v>388</v>
      </c>
      <c r="E81" s="764">
        <v>6000</v>
      </c>
      <c r="F81" s="765">
        <v>12</v>
      </c>
      <c r="G81" s="747"/>
      <c r="H81" s="616"/>
      <c r="I81" s="616"/>
      <c r="J81" s="616"/>
      <c r="K81" s="616"/>
      <c r="L81" s="616"/>
      <c r="M81" s="616"/>
      <c r="N81" s="616"/>
      <c r="O81" s="616"/>
      <c r="P81" s="616"/>
      <c r="Q81" s="616"/>
      <c r="R81" s="616"/>
      <c r="S81" s="616"/>
      <c r="T81" s="748"/>
      <c r="U81" s="749"/>
      <c r="V81" s="749"/>
      <c r="W81" s="749"/>
    </row>
    <row r="82" spans="1:23" s="750" customFormat="1" ht="15.75">
      <c r="A82" s="766" t="s">
        <v>389</v>
      </c>
      <c r="B82" s="758" t="s">
        <v>322</v>
      </c>
      <c r="C82" s="752" t="s">
        <v>372</v>
      </c>
      <c r="D82" s="753" t="s">
        <v>390</v>
      </c>
      <c r="E82" s="759">
        <v>200</v>
      </c>
      <c r="F82" s="760">
        <v>360</v>
      </c>
      <c r="G82" s="747"/>
      <c r="H82" s="616"/>
      <c r="I82" s="616"/>
      <c r="J82" s="616"/>
      <c r="K82" s="616"/>
      <c r="L82" s="616"/>
      <c r="M82" s="616"/>
      <c r="N82" s="616"/>
      <c r="O82" s="616"/>
      <c r="P82" s="616"/>
      <c r="Q82" s="616"/>
      <c r="R82" s="616"/>
      <c r="S82" s="616"/>
      <c r="T82" s="748"/>
      <c r="U82" s="749"/>
      <c r="V82" s="749"/>
      <c r="W82" s="749"/>
    </row>
    <row r="83" spans="1:23" s="750" customFormat="1" ht="15.75">
      <c r="A83" s="1099" t="s">
        <v>246</v>
      </c>
      <c r="B83" s="761" t="s">
        <v>391</v>
      </c>
      <c r="C83" s="762" t="s">
        <v>385</v>
      </c>
      <c r="D83" s="763" t="s">
        <v>392</v>
      </c>
      <c r="E83" s="764">
        <f>100*50%</f>
        <v>50</v>
      </c>
      <c r="F83" s="765">
        <v>12</v>
      </c>
      <c r="G83" s="747"/>
      <c r="H83" s="616"/>
      <c r="I83" s="616"/>
      <c r="J83" s="616"/>
      <c r="K83" s="616"/>
      <c r="L83" s="616"/>
      <c r="M83" s="616"/>
      <c r="N83" s="616"/>
      <c r="O83" s="616"/>
      <c r="P83" s="616"/>
      <c r="Q83" s="616"/>
      <c r="R83" s="616"/>
      <c r="S83" s="616"/>
      <c r="T83" s="748"/>
      <c r="U83" s="749"/>
      <c r="V83" s="749"/>
      <c r="W83" s="749"/>
    </row>
    <row r="84" spans="1:23" s="750" customFormat="1" ht="30">
      <c r="A84" s="1099"/>
      <c r="B84" s="758" t="s">
        <v>393</v>
      </c>
      <c r="C84" s="752" t="s">
        <v>372</v>
      </c>
      <c r="D84" s="753" t="s">
        <v>388</v>
      </c>
      <c r="E84" s="759">
        <v>9</v>
      </c>
      <c r="F84" s="760">
        <v>100</v>
      </c>
      <c r="G84" s="747"/>
      <c r="H84" s="616"/>
      <c r="I84" s="616"/>
      <c r="J84" s="616"/>
      <c r="K84" s="616"/>
      <c r="L84" s="616"/>
      <c r="M84" s="616"/>
      <c r="N84" s="616"/>
      <c r="O84" s="616"/>
      <c r="P84" s="616"/>
      <c r="Q84" s="616"/>
      <c r="R84" s="616"/>
      <c r="S84" s="616"/>
      <c r="T84" s="748"/>
      <c r="U84" s="749"/>
      <c r="V84" s="749"/>
      <c r="W84" s="749"/>
    </row>
    <row r="85" spans="1:23" s="750" customFormat="1" ht="15.75">
      <c r="A85" s="1099"/>
      <c r="B85" s="761" t="s">
        <v>395</v>
      </c>
      <c r="C85" s="762" t="s">
        <v>385</v>
      </c>
      <c r="D85" s="763" t="s">
        <v>388</v>
      </c>
      <c r="E85" s="764">
        <v>2500</v>
      </c>
      <c r="F85" s="765">
        <v>12</v>
      </c>
      <c r="G85" s="747"/>
      <c r="H85" s="616"/>
      <c r="I85" s="616"/>
      <c r="J85" s="616"/>
      <c r="K85" s="616"/>
      <c r="L85" s="616"/>
      <c r="M85" s="616"/>
      <c r="N85" s="616"/>
      <c r="O85" s="616"/>
      <c r="P85" s="616"/>
      <c r="Q85" s="616"/>
      <c r="R85" s="616"/>
      <c r="S85" s="616"/>
      <c r="T85" s="748"/>
      <c r="U85" s="749"/>
      <c r="V85" s="749"/>
      <c r="W85" s="749"/>
    </row>
    <row r="86" spans="1:23" s="750" customFormat="1" ht="15.75">
      <c r="A86" s="1099"/>
      <c r="B86" s="758" t="s">
        <v>396</v>
      </c>
      <c r="C86" s="752" t="s">
        <v>372</v>
      </c>
      <c r="D86" s="753" t="s">
        <v>390</v>
      </c>
      <c r="E86" s="759">
        <v>200</v>
      </c>
      <c r="F86" s="760">
        <v>180</v>
      </c>
      <c r="G86" s="747"/>
      <c r="H86" s="616"/>
      <c r="I86" s="616"/>
      <c r="J86" s="616"/>
      <c r="K86" s="616"/>
      <c r="L86" s="616"/>
      <c r="M86" s="616"/>
      <c r="N86" s="616"/>
      <c r="O86" s="616"/>
      <c r="P86" s="616"/>
      <c r="Q86" s="616"/>
      <c r="R86" s="616"/>
      <c r="S86" s="616"/>
      <c r="T86" s="748"/>
      <c r="U86" s="749"/>
      <c r="V86" s="749"/>
      <c r="W86" s="749"/>
    </row>
    <row r="87" spans="1:23" s="750" customFormat="1" ht="15.75">
      <c r="A87" s="1099"/>
      <c r="B87" s="758" t="s">
        <v>397</v>
      </c>
      <c r="C87" s="752" t="s">
        <v>372</v>
      </c>
      <c r="D87" s="753" t="s">
        <v>390</v>
      </c>
      <c r="E87" s="759">
        <v>400</v>
      </c>
      <c r="F87" s="760">
        <v>180</v>
      </c>
      <c r="G87" s="747"/>
      <c r="H87" s="616"/>
      <c r="I87" s="616"/>
      <c r="J87" s="616"/>
      <c r="K87" s="616"/>
      <c r="L87" s="616"/>
      <c r="M87" s="616"/>
      <c r="N87" s="616"/>
      <c r="O87" s="616"/>
      <c r="P87" s="616"/>
      <c r="Q87" s="616"/>
      <c r="R87" s="616"/>
      <c r="S87" s="616"/>
      <c r="T87" s="748"/>
      <c r="U87" s="749"/>
      <c r="V87" s="749"/>
      <c r="W87" s="749"/>
    </row>
    <row r="88" spans="1:23" s="750" customFormat="1" ht="15.75">
      <c r="A88" s="1099" t="s">
        <v>398</v>
      </c>
      <c r="B88" s="761" t="s">
        <v>391</v>
      </c>
      <c r="C88" s="762" t="s">
        <v>385</v>
      </c>
      <c r="D88" s="763" t="s">
        <v>392</v>
      </c>
      <c r="E88" s="764">
        <f>100*50%</f>
        <v>50</v>
      </c>
      <c r="F88" s="765">
        <v>12</v>
      </c>
      <c r="G88" s="747"/>
      <c r="H88" s="616"/>
      <c r="I88" s="616"/>
      <c r="J88" s="616"/>
      <c r="K88" s="616"/>
      <c r="L88" s="616"/>
      <c r="M88" s="616"/>
      <c r="N88" s="616"/>
      <c r="O88" s="616"/>
      <c r="P88" s="616"/>
      <c r="Q88" s="616"/>
      <c r="R88" s="616"/>
      <c r="S88" s="616"/>
      <c r="T88" s="748"/>
      <c r="U88" s="749"/>
      <c r="V88" s="749"/>
      <c r="W88" s="749"/>
    </row>
    <row r="89" spans="1:23" s="750" customFormat="1" ht="30">
      <c r="A89" s="1099"/>
      <c r="B89" s="758" t="s">
        <v>393</v>
      </c>
      <c r="C89" s="752" t="s">
        <v>372</v>
      </c>
      <c r="D89" s="753" t="s">
        <v>394</v>
      </c>
      <c r="E89" s="759">
        <v>9</v>
      </c>
      <c r="F89" s="760">
        <v>30</v>
      </c>
      <c r="G89" s="747"/>
      <c r="H89" s="616"/>
      <c r="I89" s="616"/>
      <c r="J89" s="616"/>
      <c r="K89" s="616"/>
      <c r="L89" s="616"/>
      <c r="M89" s="616"/>
      <c r="N89" s="616"/>
      <c r="O89" s="616"/>
      <c r="P89" s="616"/>
      <c r="Q89" s="616"/>
      <c r="R89" s="616"/>
      <c r="S89" s="616"/>
      <c r="T89" s="748"/>
      <c r="U89" s="749"/>
      <c r="V89" s="749"/>
      <c r="W89" s="749"/>
    </row>
    <row r="90" spans="1:23" s="750" customFormat="1" ht="15.75">
      <c r="A90" s="1099"/>
      <c r="B90" s="761" t="s">
        <v>395</v>
      </c>
      <c r="C90" s="762" t="s">
        <v>385</v>
      </c>
      <c r="D90" s="763" t="s">
        <v>388</v>
      </c>
      <c r="E90" s="764">
        <v>2500</v>
      </c>
      <c r="F90" s="763">
        <v>12</v>
      </c>
      <c r="G90" s="747"/>
      <c r="H90" s="616"/>
      <c r="I90" s="616"/>
      <c r="J90" s="616"/>
      <c r="K90" s="616"/>
      <c r="L90" s="616"/>
      <c r="M90" s="616"/>
      <c r="N90" s="616"/>
      <c r="O90" s="616"/>
      <c r="P90" s="616"/>
      <c r="Q90" s="616"/>
      <c r="R90" s="616"/>
      <c r="S90" s="616"/>
      <c r="T90" s="748"/>
      <c r="U90" s="749"/>
      <c r="V90" s="749"/>
      <c r="W90" s="749"/>
    </row>
    <row r="91" spans="1:23" s="750" customFormat="1" ht="30">
      <c r="A91" s="1099"/>
      <c r="B91" s="758" t="s">
        <v>400</v>
      </c>
      <c r="C91" s="752" t="s">
        <v>372</v>
      </c>
      <c r="D91" s="753" t="s">
        <v>399</v>
      </c>
      <c r="E91" s="767">
        <v>20</v>
      </c>
      <c r="F91" s="783"/>
      <c r="G91" s="747"/>
      <c r="H91" s="616"/>
      <c r="I91" s="616"/>
      <c r="J91" s="616"/>
      <c r="K91" s="616"/>
      <c r="L91" s="616"/>
      <c r="M91" s="616"/>
      <c r="N91" s="616"/>
      <c r="O91" s="616"/>
      <c r="P91" s="616"/>
      <c r="Q91" s="616"/>
      <c r="R91" s="616"/>
      <c r="S91" s="616"/>
      <c r="T91" s="748"/>
      <c r="U91" s="749"/>
      <c r="V91" s="749"/>
      <c r="W91" s="749"/>
    </row>
    <row r="92" spans="1:23" s="750" customFormat="1" ht="15.75">
      <c r="A92" s="1099"/>
      <c r="B92" s="758" t="s">
        <v>401</v>
      </c>
      <c r="C92" s="752" t="s">
        <v>372</v>
      </c>
      <c r="D92" s="753" t="s">
        <v>390</v>
      </c>
      <c r="E92" s="759">
        <v>200</v>
      </c>
      <c r="F92" s="753">
        <v>180</v>
      </c>
      <c r="G92" s="747"/>
      <c r="H92" s="616"/>
      <c r="I92" s="616"/>
      <c r="J92" s="616"/>
      <c r="K92" s="616"/>
      <c r="L92" s="616"/>
      <c r="M92" s="616"/>
      <c r="N92" s="616"/>
      <c r="O92" s="616"/>
      <c r="P92" s="616"/>
      <c r="Q92" s="616"/>
      <c r="R92" s="616"/>
      <c r="S92" s="616"/>
      <c r="T92" s="748"/>
      <c r="U92" s="749"/>
      <c r="V92" s="749"/>
      <c r="W92" s="749"/>
    </row>
    <row r="93" spans="1:23" s="750" customFormat="1" ht="30">
      <c r="A93" s="1098" t="s">
        <v>402</v>
      </c>
      <c r="B93" s="758" t="s">
        <v>403</v>
      </c>
      <c r="C93" s="752" t="s">
        <v>372</v>
      </c>
      <c r="D93" s="753" t="s">
        <v>404</v>
      </c>
      <c r="E93" s="759">
        <v>13000</v>
      </c>
      <c r="F93" s="784"/>
      <c r="G93" s="747"/>
      <c r="H93" s="616"/>
      <c r="I93" s="616"/>
      <c r="J93" s="616"/>
      <c r="K93" s="616"/>
      <c r="L93" s="616"/>
      <c r="M93" s="616"/>
      <c r="N93" s="616"/>
      <c r="O93" s="616"/>
      <c r="P93" s="616"/>
      <c r="Q93" s="616"/>
      <c r="R93" s="616"/>
      <c r="S93" s="616"/>
      <c r="T93" s="748"/>
      <c r="U93" s="749"/>
      <c r="V93" s="749"/>
      <c r="W93" s="749"/>
    </row>
    <row r="94" spans="1:23" s="750" customFormat="1" ht="15.75">
      <c r="A94" s="1098"/>
      <c r="B94" s="758" t="s">
        <v>405</v>
      </c>
      <c r="C94" s="752" t="s">
        <v>372</v>
      </c>
      <c r="D94" s="753" t="s">
        <v>383</v>
      </c>
      <c r="E94" s="759">
        <v>3</v>
      </c>
      <c r="F94" s="782"/>
      <c r="G94" s="747"/>
      <c r="H94" s="616"/>
      <c r="I94" s="616"/>
      <c r="J94" s="616"/>
      <c r="K94" s="616"/>
      <c r="L94" s="616"/>
      <c r="M94" s="616"/>
      <c r="N94" s="616"/>
      <c r="O94" s="616"/>
      <c r="P94" s="616"/>
      <c r="Q94" s="616"/>
      <c r="R94" s="616"/>
      <c r="S94" s="616"/>
      <c r="T94" s="748"/>
      <c r="U94" s="749"/>
      <c r="V94" s="749"/>
      <c r="W94" s="749"/>
    </row>
    <row r="95" spans="1:23" s="750" customFormat="1" ht="15.75">
      <c r="A95" s="1098"/>
      <c r="B95" s="761" t="s">
        <v>406</v>
      </c>
      <c r="C95" s="762" t="s">
        <v>385</v>
      </c>
      <c r="D95" s="763" t="s">
        <v>386</v>
      </c>
      <c r="E95" s="764">
        <v>189000</v>
      </c>
      <c r="F95" s="765">
        <v>1</v>
      </c>
      <c r="G95" s="747"/>
      <c r="H95" s="616"/>
      <c r="I95" s="616"/>
      <c r="J95" s="616"/>
      <c r="K95" s="616"/>
      <c r="L95" s="616"/>
      <c r="M95" s="616"/>
      <c r="N95" s="616"/>
      <c r="O95" s="616"/>
      <c r="P95" s="616"/>
      <c r="Q95" s="616"/>
      <c r="R95" s="616"/>
      <c r="S95" s="616"/>
      <c r="T95" s="748"/>
      <c r="U95" s="749"/>
      <c r="V95" s="749"/>
      <c r="W95" s="749"/>
    </row>
    <row r="96" spans="1:23" s="750" customFormat="1" ht="15.75">
      <c r="A96" s="1093" t="s">
        <v>407</v>
      </c>
      <c r="B96" s="761" t="s">
        <v>408</v>
      </c>
      <c r="C96" s="762" t="s">
        <v>385</v>
      </c>
      <c r="D96" s="763" t="s">
        <v>5</v>
      </c>
      <c r="E96" s="764">
        <v>10000</v>
      </c>
      <c r="F96" s="763">
        <v>1</v>
      </c>
      <c r="G96" s="747"/>
      <c r="H96" s="616"/>
      <c r="I96" s="616"/>
      <c r="J96" s="616"/>
      <c r="K96" s="616"/>
      <c r="L96" s="616"/>
      <c r="M96" s="616"/>
      <c r="N96" s="616"/>
      <c r="O96" s="616"/>
      <c r="P96" s="616"/>
      <c r="Q96" s="616"/>
      <c r="R96" s="616"/>
      <c r="S96" s="616"/>
      <c r="T96" s="748"/>
      <c r="U96" s="749"/>
      <c r="V96" s="749"/>
      <c r="W96" s="749"/>
    </row>
    <row r="97" spans="1:23" s="750" customFormat="1" ht="30.75" thickBot="1">
      <c r="A97" s="1094"/>
      <c r="B97" s="768" t="s">
        <v>434</v>
      </c>
      <c r="C97" s="769" t="s">
        <v>385</v>
      </c>
      <c r="D97" s="770" t="s">
        <v>409</v>
      </c>
      <c r="E97" s="771">
        <v>8000</v>
      </c>
      <c r="F97" s="770">
        <v>1</v>
      </c>
      <c r="G97" s="747"/>
      <c r="H97" s="616"/>
      <c r="I97" s="616"/>
      <c r="J97" s="616"/>
      <c r="K97" s="616"/>
      <c r="L97" s="616"/>
      <c r="M97" s="616"/>
      <c r="N97" s="616"/>
      <c r="O97" s="616"/>
      <c r="P97" s="616"/>
      <c r="Q97" s="616"/>
      <c r="R97" s="616"/>
      <c r="S97" s="616"/>
      <c r="T97" s="748"/>
      <c r="U97" s="749"/>
      <c r="V97" s="749"/>
      <c r="W97" s="749"/>
    </row>
    <row r="98" spans="1:23" ht="13.5" thickBot="1">
      <c r="A98" s="1095"/>
      <c r="B98" s="1096"/>
      <c r="C98" s="1096"/>
      <c r="D98" s="1096"/>
      <c r="E98" s="772"/>
      <c r="F98" s="773"/>
      <c r="G98" s="740"/>
      <c r="H98" s="774"/>
      <c r="I98" s="774"/>
      <c r="J98" s="774"/>
      <c r="K98" s="774"/>
      <c r="L98" s="774"/>
      <c r="M98" s="774"/>
      <c r="N98" s="774"/>
      <c r="O98" s="774"/>
      <c r="P98" s="774"/>
      <c r="Q98" s="774"/>
      <c r="R98" s="774"/>
      <c r="S98" s="774"/>
      <c r="T98" s="740"/>
    </row>
    <row r="99" spans="1:23" ht="13.5" thickBot="1">
      <c r="N99" s="293"/>
    </row>
    <row r="100" spans="1:23" ht="13.5" thickBot="1">
      <c r="A100" s="785" t="s">
        <v>467</v>
      </c>
      <c r="B100" s="786">
        <v>90</v>
      </c>
      <c r="N100" s="293"/>
    </row>
  </sheetData>
  <sheetProtection algorithmName="SHA-512" hashValue="dr5a5N1dPSB3WThiaqxbRyYsmXm6Y0GC+0naoCHhylD7ioCuLxyEfLo3b7W13JwWx3fU1MjP+/CVi/hJlpN+Bg==" saltValue="rvorwHBsNRt6r9V8Nt3deA==" spinCount="100000" sheet="1" objects="1" scenarios="1"/>
  <mergeCells count="41">
    <mergeCell ref="E71:F71"/>
    <mergeCell ref="O58:O60"/>
    <mergeCell ref="A96:A97"/>
    <mergeCell ref="A98:D98"/>
    <mergeCell ref="A73:A78"/>
    <mergeCell ref="A79:A81"/>
    <mergeCell ref="A83:A87"/>
    <mergeCell ref="A88:A92"/>
    <mergeCell ref="C71:C72"/>
    <mergeCell ref="D71:D72"/>
    <mergeCell ref="A93:A95"/>
    <mergeCell ref="A71:A72"/>
    <mergeCell ref="B71:B72"/>
    <mergeCell ref="A61:A64"/>
    <mergeCell ref="S58:S60"/>
    <mergeCell ref="C59:E59"/>
    <mergeCell ref="F59:H59"/>
    <mergeCell ref="I59:K59"/>
    <mergeCell ref="L59:N59"/>
    <mergeCell ref="P59:P60"/>
    <mergeCell ref="Q59:Q60"/>
    <mergeCell ref="R59:R60"/>
    <mergeCell ref="A49:A50"/>
    <mergeCell ref="B49:B50"/>
    <mergeCell ref="C49:N49"/>
    <mergeCell ref="A51:A54"/>
    <mergeCell ref="A58:A60"/>
    <mergeCell ref="B58:B60"/>
    <mergeCell ref="C58:N58"/>
    <mergeCell ref="E3:H3"/>
    <mergeCell ref="A40:B40"/>
    <mergeCell ref="A46:D46"/>
    <mergeCell ref="A3:A4"/>
    <mergeCell ref="B3:B4"/>
    <mergeCell ref="C3:C4"/>
    <mergeCell ref="D3:D4"/>
    <mergeCell ref="A41:D41"/>
    <mergeCell ref="A42:D42"/>
    <mergeCell ref="A43:D43"/>
    <mergeCell ref="A44:D44"/>
    <mergeCell ref="A45:D4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85A56-D7CF-4178-BB19-AF74F300D1B2}">
  <dimension ref="A1:T150"/>
  <sheetViews>
    <sheetView workbookViewId="0">
      <selection activeCell="G141" sqref="G141"/>
    </sheetView>
  </sheetViews>
  <sheetFormatPr defaultRowHeight="15.75"/>
  <cols>
    <col min="1" max="1" width="18.42578125" style="241" customWidth="1"/>
    <col min="2" max="2" width="19" style="241" customWidth="1"/>
    <col min="3" max="5" width="13.42578125" style="241" bestFit="1" customWidth="1"/>
    <col min="6" max="8" width="14.5703125" style="241" bestFit="1" customWidth="1"/>
    <col min="9" max="14" width="13.42578125" style="241" bestFit="1" customWidth="1"/>
    <col min="15" max="15" width="10.140625" style="241" customWidth="1"/>
    <col min="16" max="16" width="10.28515625" style="241" customWidth="1"/>
    <col min="17" max="17" width="13.140625" style="241" customWidth="1"/>
    <col min="18" max="18" width="11.42578125" style="241" customWidth="1"/>
    <col min="19" max="19" width="10.85546875" style="241" customWidth="1"/>
    <col min="20" max="20" width="13.28515625" style="241" customWidth="1"/>
    <col min="21" max="21" width="11.28515625" style="241" customWidth="1"/>
    <col min="22" max="22" width="10.5703125" style="241" customWidth="1"/>
    <col min="23" max="24" width="10.85546875" style="241" customWidth="1"/>
    <col min="25" max="25" width="11.28515625" style="241" customWidth="1"/>
    <col min="26" max="26" width="11.7109375" style="241" customWidth="1"/>
    <col min="27" max="27" width="11.28515625" style="241" customWidth="1"/>
    <col min="28" max="28" width="10.85546875" style="241" customWidth="1"/>
    <col min="29" max="29" width="10" style="241" customWidth="1"/>
    <col min="30" max="30" width="10.7109375" style="241" customWidth="1"/>
    <col min="31" max="31" width="10.140625" style="241" customWidth="1"/>
    <col min="32" max="32" width="12.5703125" style="241" customWidth="1"/>
    <col min="33" max="33" width="11.42578125" style="241" customWidth="1"/>
    <col min="34" max="34" width="12" style="241" customWidth="1"/>
    <col min="35" max="35" width="11.42578125" style="241" customWidth="1"/>
    <col min="36" max="36" width="10.5703125" style="241" customWidth="1"/>
    <col min="37" max="37" width="11.42578125" style="241" customWidth="1"/>
    <col min="38" max="38" width="14.28515625" style="241" customWidth="1"/>
    <col min="39" max="16384" width="9.140625" style="241"/>
  </cols>
  <sheetData>
    <row r="1" spans="1:14" ht="16.5" thickBot="1"/>
    <row r="2" spans="1:14" ht="16.5" thickBot="1">
      <c r="A2" s="1108" t="s">
        <v>248</v>
      </c>
      <c r="B2" s="1110" t="s">
        <v>119</v>
      </c>
      <c r="C2" s="1112" t="s">
        <v>126</v>
      </c>
      <c r="D2" s="1113"/>
      <c r="E2" s="1113"/>
      <c r="F2" s="1113"/>
      <c r="G2" s="1113"/>
      <c r="H2" s="1113"/>
      <c r="I2" s="1113"/>
      <c r="J2" s="1113"/>
      <c r="K2" s="1113"/>
      <c r="L2" s="1113"/>
      <c r="M2" s="1113"/>
      <c r="N2" s="1114"/>
    </row>
    <row r="3" spans="1:14" ht="16.5" thickBot="1">
      <c r="A3" s="1109"/>
      <c r="B3" s="1111"/>
      <c r="C3" s="261">
        <v>44652</v>
      </c>
      <c r="D3" s="255">
        <v>44682</v>
      </c>
      <c r="E3" s="261">
        <v>44713</v>
      </c>
      <c r="F3" s="255">
        <v>44743</v>
      </c>
      <c r="G3" s="261">
        <v>44774</v>
      </c>
      <c r="H3" s="255">
        <v>44805</v>
      </c>
      <c r="I3" s="261">
        <v>44835</v>
      </c>
      <c r="J3" s="255">
        <v>44866</v>
      </c>
      <c r="K3" s="261">
        <v>44896</v>
      </c>
      <c r="L3" s="255">
        <v>44927</v>
      </c>
      <c r="M3" s="261">
        <v>44958</v>
      </c>
      <c r="N3" s="255">
        <v>44986</v>
      </c>
    </row>
    <row r="4" spans="1:14">
      <c r="A4" s="1115" t="s">
        <v>127</v>
      </c>
      <c r="B4" s="270" t="str">
        <f>'Master Assumptions'!B114</f>
        <v>Basmati</v>
      </c>
      <c r="C4" s="248">
        <f>'Master Assumptions'!$E$66*'Master Assumptions'!C114</f>
        <v>0</v>
      </c>
      <c r="D4" s="248">
        <f>'Master Assumptions'!$E$66*'Master Assumptions'!D114</f>
        <v>0</v>
      </c>
      <c r="E4" s="248">
        <f>'Master Assumptions'!$E$66*'Master Assumptions'!E114</f>
        <v>0</v>
      </c>
      <c r="F4" s="248">
        <f>'Master Assumptions'!$E$66*'Master Assumptions'!F114</f>
        <v>268</v>
      </c>
      <c r="G4" s="248">
        <f>'Master Assumptions'!$E$66*'Master Assumptions'!G114</f>
        <v>402</v>
      </c>
      <c r="H4" s="248">
        <f>'Master Assumptions'!$E$66*'Master Assumptions'!H114</f>
        <v>670</v>
      </c>
      <c r="I4" s="248">
        <f>'Master Assumptions'!$E$66*'Master Assumptions'!I114</f>
        <v>0</v>
      </c>
      <c r="J4" s="248">
        <f>'Master Assumptions'!$E$66*'Master Assumptions'!J114</f>
        <v>0</v>
      </c>
      <c r="K4" s="248">
        <f>'Master Assumptions'!$E$66*'Master Assumptions'!K114</f>
        <v>0</v>
      </c>
      <c r="L4" s="248">
        <f>'Master Assumptions'!$E$66*'Master Assumptions'!L114</f>
        <v>0</v>
      </c>
      <c r="M4" s="248">
        <f>'Master Assumptions'!$E$66*'Master Assumptions'!M114</f>
        <v>0</v>
      </c>
      <c r="N4" s="248">
        <f>'Master Assumptions'!$E$66*'Master Assumptions'!N114</f>
        <v>0</v>
      </c>
    </row>
    <row r="5" spans="1:14">
      <c r="A5" s="1116"/>
      <c r="B5" s="270" t="str">
        <f>'Master Assumptions'!B115</f>
        <v>Jordaar</v>
      </c>
      <c r="C5" s="248">
        <f>'Master Assumptions'!$F$66*'Master Assumptions'!C115</f>
        <v>0</v>
      </c>
      <c r="D5" s="242">
        <f>'Master Assumptions'!$F$66*'Master Assumptions'!D115</f>
        <v>0</v>
      </c>
      <c r="E5" s="242">
        <f>'Master Assumptions'!$F$66*'Master Assumptions'!E115</f>
        <v>0</v>
      </c>
      <c r="F5" s="242">
        <f>'Master Assumptions'!$F$66*'Master Assumptions'!F115</f>
        <v>0</v>
      </c>
      <c r="G5" s="242">
        <f>'Master Assumptions'!$F$66*'Master Assumptions'!G115</f>
        <v>0</v>
      </c>
      <c r="H5" s="242">
        <f>'Master Assumptions'!$F$66*'Master Assumptions'!H115</f>
        <v>291.59999999999997</v>
      </c>
      <c r="I5" s="242">
        <f>'Master Assumptions'!$F$66*'Master Assumptions'!I115</f>
        <v>194.4</v>
      </c>
      <c r="J5" s="242">
        <f>'Master Assumptions'!$F$66*'Master Assumptions'!J115</f>
        <v>486</v>
      </c>
      <c r="K5" s="242">
        <f>'Master Assumptions'!$F$66*'Master Assumptions'!K115</f>
        <v>0</v>
      </c>
      <c r="L5" s="242">
        <f>'Master Assumptions'!$F$66*'Master Assumptions'!L115</f>
        <v>0</v>
      </c>
      <c r="M5" s="242">
        <f>'Master Assumptions'!$F$66*'Master Assumptions'!M115</f>
        <v>0</v>
      </c>
      <c r="N5" s="242">
        <f>'Master Assumptions'!$F$66*'Master Assumptions'!N115</f>
        <v>0</v>
      </c>
    </row>
    <row r="6" spans="1:14">
      <c r="A6" s="1116"/>
      <c r="B6" s="270" t="str">
        <f>'Master Assumptions'!B116</f>
        <v>Early sona</v>
      </c>
      <c r="C6" s="248">
        <f>'Master Assumptions'!$G$66*'Master Assumptions'!C116</f>
        <v>0</v>
      </c>
      <c r="D6" s="242">
        <f>'Master Assumptions'!$G$66*'Master Assumptions'!D116</f>
        <v>0</v>
      </c>
      <c r="E6" s="242">
        <f>'Master Assumptions'!$G$66*'Master Assumptions'!E116</f>
        <v>0</v>
      </c>
      <c r="F6" s="242">
        <f>'Master Assumptions'!$G$66*'Master Assumptions'!F116</f>
        <v>0</v>
      </c>
      <c r="G6" s="242">
        <f>'Master Assumptions'!$G$66*'Master Assumptions'!G116</f>
        <v>1398</v>
      </c>
      <c r="H6" s="242">
        <f>'Master Assumptions'!$G$66*'Master Assumptions'!H116</f>
        <v>838.8</v>
      </c>
      <c r="I6" s="242">
        <f>'Master Assumptions'!$G$66*'Master Assumptions'!I116</f>
        <v>559.20000000000005</v>
      </c>
      <c r="J6" s="242">
        <f>'Master Assumptions'!$G$66*'Master Assumptions'!J116</f>
        <v>0</v>
      </c>
      <c r="K6" s="242">
        <f>'Master Assumptions'!$G$66*'Master Assumptions'!K116</f>
        <v>0</v>
      </c>
      <c r="L6" s="242">
        <f>'Master Assumptions'!$G$66*'Master Assumptions'!L116</f>
        <v>0</v>
      </c>
      <c r="M6" s="242">
        <f>'Master Assumptions'!$G$66*'Master Assumptions'!M116</f>
        <v>0</v>
      </c>
      <c r="N6" s="242">
        <f>'Master Assumptions'!$G$66*'Master Assumptions'!N116</f>
        <v>0</v>
      </c>
    </row>
    <row r="7" spans="1:14">
      <c r="A7" s="1116"/>
      <c r="B7" s="635">
        <f>'Master Assumptions'!B117</f>
        <v>1010</v>
      </c>
      <c r="C7" s="248">
        <f>'Master Assumptions'!H$66*'Master Assumptions'!C117</f>
        <v>0</v>
      </c>
      <c r="D7" s="242">
        <f>'Master Assumptions'!$H$66*'Master Assumptions'!D117</f>
        <v>0</v>
      </c>
      <c r="E7" s="242">
        <f>'Master Assumptions'!$H$66*'Master Assumptions'!E117</f>
        <v>0</v>
      </c>
      <c r="F7" s="242">
        <f>'Master Assumptions'!$H$66*'Master Assumptions'!F117</f>
        <v>0</v>
      </c>
      <c r="G7" s="242">
        <f>'Master Assumptions'!$H$66*'Master Assumptions'!G117</f>
        <v>0</v>
      </c>
      <c r="H7" s="242">
        <f>'Master Assumptions'!$H$66*'Master Assumptions'!H117</f>
        <v>0</v>
      </c>
      <c r="I7" s="242">
        <f>'Master Assumptions'!$H$66*'Master Assumptions'!I117</f>
        <v>0</v>
      </c>
      <c r="J7" s="242">
        <f>'Master Assumptions'!$H$66*'Master Assumptions'!J117</f>
        <v>0</v>
      </c>
      <c r="K7" s="242">
        <f>'Master Assumptions'!$H$66*'Master Assumptions'!K117</f>
        <v>0</v>
      </c>
      <c r="L7" s="242">
        <f>'Master Assumptions'!$H$66*'Master Assumptions'!L117</f>
        <v>13037.5</v>
      </c>
      <c r="M7" s="242">
        <f>'Master Assumptions'!$H$66*'Master Assumptions'!M117</f>
        <v>1862.5</v>
      </c>
      <c r="N7" s="242">
        <f>'Master Assumptions'!$H$66*'Master Assumptions'!N117</f>
        <v>3725</v>
      </c>
    </row>
    <row r="8" spans="1:14">
      <c r="A8" s="1116"/>
      <c r="B8" s="270" t="str">
        <f>'Master Assumptions'!B118</f>
        <v>Bitter gourd</v>
      </c>
      <c r="C8" s="248">
        <f>'Master Assumptions'!$J$66*'Master Assumptions'!C118</f>
        <v>0</v>
      </c>
      <c r="D8" s="242">
        <f>'Master Assumptions'!$J$66*'Master Assumptions'!D118</f>
        <v>0</v>
      </c>
      <c r="E8" s="242">
        <f>'Master Assumptions'!$J$66*'Master Assumptions'!E118</f>
        <v>0</v>
      </c>
      <c r="F8" s="242">
        <f>'Master Assumptions'!$J$66*'Master Assumptions'!F118</f>
        <v>0</v>
      </c>
      <c r="G8" s="242">
        <f>'Master Assumptions'!$J$66*'Master Assumptions'!G118</f>
        <v>0</v>
      </c>
      <c r="H8" s="242">
        <f>'Master Assumptions'!$J$66*'Master Assumptions'!H118</f>
        <v>0</v>
      </c>
      <c r="I8" s="242">
        <f>'Master Assumptions'!$J$66*'Master Assumptions'!I118</f>
        <v>68.599999999999994</v>
      </c>
      <c r="J8" s="242">
        <f>'Master Assumptions'!$J$66*'Master Assumptions'!J118</f>
        <v>9.8000000000000007</v>
      </c>
      <c r="K8" s="242">
        <f>'Master Assumptions'!$J$66*'Master Assumptions'!K118</f>
        <v>19.600000000000001</v>
      </c>
      <c r="L8" s="242">
        <f>'Master Assumptions'!$J$66*'Master Assumptions'!L118</f>
        <v>0</v>
      </c>
      <c r="M8" s="242">
        <f>'Master Assumptions'!$J$66*'Master Assumptions'!M118</f>
        <v>0</v>
      </c>
      <c r="N8" s="242">
        <f>'Master Assumptions'!$J$66*'Master Assumptions'!N118</f>
        <v>0</v>
      </c>
    </row>
    <row r="9" spans="1:14">
      <c r="A9" s="1116"/>
      <c r="B9" s="270" t="str">
        <f>'Master Assumptions'!B119</f>
        <v>Sponge guord</v>
      </c>
      <c r="C9" s="248">
        <f>'Master Assumptions'!$K$66*'Master Assumptions'!C119</f>
        <v>4.7600000000000007</v>
      </c>
      <c r="D9" s="242">
        <f>'Master Assumptions'!$K$66*'Master Assumptions'!D119</f>
        <v>7.14</v>
      </c>
      <c r="E9" s="242">
        <f>'Master Assumptions'!$K$66*'Master Assumptions'!E119</f>
        <v>11.9</v>
      </c>
      <c r="F9" s="242">
        <f>'Master Assumptions'!$K$66*'Master Assumptions'!F119</f>
        <v>0</v>
      </c>
      <c r="G9" s="242">
        <f>'Master Assumptions'!$K$66*'Master Assumptions'!G119</f>
        <v>0</v>
      </c>
      <c r="H9" s="242">
        <f>'Master Assumptions'!$K$66*'Master Assumptions'!H119</f>
        <v>0</v>
      </c>
      <c r="I9" s="242">
        <f>'Master Assumptions'!$K$66*'Master Assumptions'!I119</f>
        <v>0</v>
      </c>
      <c r="J9" s="242">
        <f>'Master Assumptions'!$K$66*'Master Assumptions'!J119</f>
        <v>0</v>
      </c>
      <c r="K9" s="242">
        <f>'Master Assumptions'!$K$66*'Master Assumptions'!K119</f>
        <v>0</v>
      </c>
      <c r="L9" s="242">
        <f>'Master Assumptions'!$K$66*'Master Assumptions'!L119</f>
        <v>0</v>
      </c>
      <c r="M9" s="242">
        <f>'Master Assumptions'!$K$66*'Master Assumptions'!M119</f>
        <v>0</v>
      </c>
      <c r="N9" s="242">
        <f>'Master Assumptions'!$K$66*'Master Assumptions'!N119</f>
        <v>0</v>
      </c>
    </row>
    <row r="10" spans="1:14">
      <c r="A10" s="1116"/>
      <c r="B10" s="270" t="str">
        <f>'Master Assumptions'!B120</f>
        <v>Cow pea</v>
      </c>
      <c r="C10" s="248">
        <f>'Master Assumptions'!$L$66*'Master Assumptions'!C120</f>
        <v>0</v>
      </c>
      <c r="D10" s="242">
        <f>'Master Assumptions'!$L$66*'Master Assumptions'!D120</f>
        <v>0</v>
      </c>
      <c r="E10" s="242">
        <f>'Master Assumptions'!$L$66*'Master Assumptions'!E120</f>
        <v>0</v>
      </c>
      <c r="F10" s="242">
        <f>'Master Assumptions'!$L$66*'Master Assumptions'!F120</f>
        <v>50.4</v>
      </c>
      <c r="G10" s="242">
        <f>'Master Assumptions'!$L$66*'Master Assumptions'!G120</f>
        <v>33.6</v>
      </c>
      <c r="H10" s="242">
        <f>'Master Assumptions'!$L$66*'Master Assumptions'!H120</f>
        <v>84</v>
      </c>
      <c r="I10" s="242">
        <f>'Master Assumptions'!$L$66*'Master Assumptions'!I120</f>
        <v>0</v>
      </c>
      <c r="J10" s="242">
        <f>'Master Assumptions'!$L$66*'Master Assumptions'!J120</f>
        <v>0</v>
      </c>
      <c r="K10" s="242">
        <f>'Master Assumptions'!$L$66*'Master Assumptions'!K120</f>
        <v>0</v>
      </c>
      <c r="L10" s="242">
        <f>'Master Assumptions'!$L$66*'Master Assumptions'!L120</f>
        <v>0</v>
      </c>
      <c r="M10" s="242">
        <f>'Master Assumptions'!$L$66*'Master Assumptions'!M120</f>
        <v>0</v>
      </c>
      <c r="N10" s="242">
        <f>'Master Assumptions'!$L$66*'Master Assumptions'!N120</f>
        <v>0</v>
      </c>
    </row>
    <row r="11" spans="1:14">
      <c r="A11" s="1116"/>
      <c r="B11" s="270" t="str">
        <f>'Master Assumptions'!B121</f>
        <v>Lady Finger</v>
      </c>
      <c r="C11" s="248">
        <f>'Master Assumptions'!$M$66*'Master Assumptions'!C121</f>
        <v>0</v>
      </c>
      <c r="D11" s="242">
        <f>'Master Assumptions'!$M$66*'Master Assumptions'!D121</f>
        <v>0</v>
      </c>
      <c r="E11" s="242">
        <f>'Master Assumptions'!$M$66*'Master Assumptions'!E121</f>
        <v>0</v>
      </c>
      <c r="F11" s="242">
        <f>'Master Assumptions'!$M$66*'Master Assumptions'!F121</f>
        <v>0</v>
      </c>
      <c r="G11" s="242">
        <f>'Master Assumptions'!$M$66*'Master Assumptions'!G121</f>
        <v>0</v>
      </c>
      <c r="H11" s="242">
        <f>'Master Assumptions'!$M$66*'Master Assumptions'!H121</f>
        <v>0</v>
      </c>
      <c r="I11" s="242">
        <f>'Master Assumptions'!$M$66*'Master Assumptions'!I121</f>
        <v>16.875</v>
      </c>
      <c r="J11" s="242">
        <f>'Master Assumptions'!$M$66*'Master Assumptions'!J121</f>
        <v>11.25</v>
      </c>
      <c r="K11" s="242">
        <f>'Master Assumptions'!$M$66*'Master Assumptions'!K121</f>
        <v>28.125</v>
      </c>
      <c r="L11" s="242">
        <f>'Master Assumptions'!$M$66*'Master Assumptions'!L121</f>
        <v>0</v>
      </c>
      <c r="M11" s="242">
        <f>'Master Assumptions'!$M$66*'Master Assumptions'!M121</f>
        <v>0</v>
      </c>
      <c r="N11" s="242">
        <f>'Master Assumptions'!$M$66*'Master Assumptions'!N121</f>
        <v>0</v>
      </c>
    </row>
    <row r="12" spans="1:14">
      <c r="A12" s="1116"/>
      <c r="B12" s="270" t="str">
        <f>'Master Assumptions'!B122</f>
        <v>Brinjal</v>
      </c>
      <c r="C12" s="248">
        <f>'Master Assumptions'!$N$66*'Master Assumptions'!C122</f>
        <v>0</v>
      </c>
      <c r="D12" s="242">
        <f>'Master Assumptions'!$N$66*'Master Assumptions'!D122</f>
        <v>0</v>
      </c>
      <c r="E12" s="242">
        <f>'Master Assumptions'!$N$66*'Master Assumptions'!E122</f>
        <v>0</v>
      </c>
      <c r="F12" s="242">
        <f>'Master Assumptions'!$N$66*'Master Assumptions'!F122</f>
        <v>2.625</v>
      </c>
      <c r="G12" s="242">
        <f>'Master Assumptions'!$N$66*'Master Assumptions'!G122</f>
        <v>1.575</v>
      </c>
      <c r="H12" s="242">
        <f>'Master Assumptions'!$N$66*'Master Assumptions'!H122</f>
        <v>1.05</v>
      </c>
      <c r="I12" s="242">
        <f>'Master Assumptions'!$N$66*'Master Assumptions'!I122</f>
        <v>0</v>
      </c>
      <c r="J12" s="242">
        <f>'Master Assumptions'!$N$66*'Master Assumptions'!J122</f>
        <v>0</v>
      </c>
      <c r="K12" s="242">
        <f>'Master Assumptions'!$N$66*'Master Assumptions'!K122</f>
        <v>0</v>
      </c>
      <c r="L12" s="242">
        <f>'Master Assumptions'!$N$66*'Master Assumptions'!L122</f>
        <v>0</v>
      </c>
      <c r="M12" s="242">
        <f>'Master Assumptions'!$N$66*'Master Assumptions'!M122</f>
        <v>0</v>
      </c>
      <c r="N12" s="242">
        <f>'Master Assumptions'!$N$66*'Master Assumptions'!N122</f>
        <v>0</v>
      </c>
    </row>
    <row r="13" spans="1:14">
      <c r="A13" s="1116"/>
      <c r="B13" s="270" t="str">
        <f>'Master Assumptions'!B123</f>
        <v>Cauliflower</v>
      </c>
      <c r="C13" s="248">
        <f>'Master Assumptions'!$O$66*'Master Assumptions'!C123</f>
        <v>9.8000000000000007</v>
      </c>
      <c r="D13" s="242">
        <f>'Master Assumptions'!$O$66*'Master Assumptions'!D123</f>
        <v>9.8000000000000007</v>
      </c>
      <c r="E13" s="242">
        <f>'Master Assumptions'!$O$66*'Master Assumptions'!E123</f>
        <v>9.8000000000000007</v>
      </c>
      <c r="F13" s="242">
        <f>'Master Assumptions'!$O$66*'Master Assumptions'!F123</f>
        <v>9.8000000000000007</v>
      </c>
      <c r="G13" s="242">
        <f>'Master Assumptions'!$O$66*'Master Assumptions'!G123</f>
        <v>9.8000000000000007</v>
      </c>
      <c r="H13" s="242">
        <f>'Master Assumptions'!$O$66*'Master Assumptions'!H123</f>
        <v>9.8000000000000007</v>
      </c>
      <c r="I13" s="242">
        <f>'Master Assumptions'!$O$66*'Master Assumptions'!I123</f>
        <v>9.8000000000000007</v>
      </c>
      <c r="J13" s="242">
        <f>'Master Assumptions'!$O$66*'Master Assumptions'!J123</f>
        <v>9.8000000000000007</v>
      </c>
      <c r="K13" s="242">
        <f>'Master Assumptions'!$O$66*'Master Assumptions'!K123</f>
        <v>4.9000000000000004</v>
      </c>
      <c r="L13" s="242">
        <f>'Master Assumptions'!$O$66*'Master Assumptions'!L123</f>
        <v>4.9000000000000004</v>
      </c>
      <c r="M13" s="242">
        <f>'Master Assumptions'!$O$66*'Master Assumptions'!M123</f>
        <v>4.9000000000000004</v>
      </c>
      <c r="N13" s="242">
        <f>'Master Assumptions'!$O$66*'Master Assumptions'!N123</f>
        <v>4.9000000000000004</v>
      </c>
    </row>
    <row r="14" spans="1:14">
      <c r="A14" s="1116"/>
      <c r="B14" s="270" t="str">
        <f>'Master Assumptions'!B124</f>
        <v>Green Pea</v>
      </c>
      <c r="C14" s="248">
        <f>'Master Assumptions'!$P$66*'Master Assumptions'!C124</f>
        <v>2.3800000000000003</v>
      </c>
      <c r="D14" s="242">
        <f>'Master Assumptions'!$P$66*'Master Assumptions'!D124</f>
        <v>2.3800000000000003</v>
      </c>
      <c r="E14" s="242">
        <f>'Master Assumptions'!$P$66*'Master Assumptions'!E124</f>
        <v>2.3800000000000003</v>
      </c>
      <c r="F14" s="242">
        <f>'Master Assumptions'!$P$66*'Master Assumptions'!F124</f>
        <v>2.3800000000000003</v>
      </c>
      <c r="G14" s="242">
        <f>'Master Assumptions'!$P$66*'Master Assumptions'!G124</f>
        <v>2.3800000000000003</v>
      </c>
      <c r="H14" s="242">
        <f>'Master Assumptions'!$P$66*'Master Assumptions'!H124</f>
        <v>2.3800000000000003</v>
      </c>
      <c r="I14" s="242">
        <f>'Master Assumptions'!$P$66*'Master Assumptions'!I124</f>
        <v>2.3800000000000003</v>
      </c>
      <c r="J14" s="242">
        <f>'Master Assumptions'!$P$66*'Master Assumptions'!J124</f>
        <v>2.3800000000000003</v>
      </c>
      <c r="K14" s="242">
        <f>'Master Assumptions'!$P$66*'Master Assumptions'!K124</f>
        <v>1.1900000000000002</v>
      </c>
      <c r="L14" s="242">
        <f>'Master Assumptions'!$P$66*'Master Assumptions'!L124</f>
        <v>1.1900000000000002</v>
      </c>
      <c r="M14" s="242">
        <f>'Master Assumptions'!$P$66*'Master Assumptions'!M124</f>
        <v>1.1900000000000002</v>
      </c>
      <c r="N14" s="242">
        <f>'Master Assumptions'!$P$66*'Master Assumptions'!N124</f>
        <v>1.1900000000000002</v>
      </c>
    </row>
    <row r="15" spans="1:14">
      <c r="A15" s="1116"/>
      <c r="B15" s="270" t="str">
        <f>'Master Assumptions'!B125</f>
        <v>Water Melon</v>
      </c>
      <c r="C15" s="248">
        <f>'Master Assumptions'!$Q$66*'Master Assumptions'!C125</f>
        <v>16.8</v>
      </c>
      <c r="D15" s="242">
        <f>'Master Assumptions'!$Q$66*'Master Assumptions'!D125</f>
        <v>16.8</v>
      </c>
      <c r="E15" s="242">
        <f>'Master Assumptions'!$Q$66*'Master Assumptions'!E125</f>
        <v>16.8</v>
      </c>
      <c r="F15" s="242">
        <f>'Master Assumptions'!$Q$66*'Master Assumptions'!F125</f>
        <v>16.8</v>
      </c>
      <c r="G15" s="242">
        <f>'Master Assumptions'!$Q$66*'Master Assumptions'!G125</f>
        <v>16.8</v>
      </c>
      <c r="H15" s="242">
        <f>'Master Assumptions'!$Q$66*'Master Assumptions'!H125</f>
        <v>16.8</v>
      </c>
      <c r="I15" s="242">
        <f>'Master Assumptions'!$Q$66*'Master Assumptions'!I125</f>
        <v>16.8</v>
      </c>
      <c r="J15" s="242">
        <f>'Master Assumptions'!$Q$66*'Master Assumptions'!J125</f>
        <v>16.8</v>
      </c>
      <c r="K15" s="242">
        <f>'Master Assumptions'!$Q$66*'Master Assumptions'!K125</f>
        <v>8.4</v>
      </c>
      <c r="L15" s="242">
        <f>'Master Assumptions'!$Q$66*'Master Assumptions'!L125</f>
        <v>8.4</v>
      </c>
      <c r="M15" s="242">
        <f>'Master Assumptions'!$Q$66*'Master Assumptions'!M125</f>
        <v>8.4</v>
      </c>
      <c r="N15" s="242">
        <f>'Master Assumptions'!$Q$66*'Master Assumptions'!N125</f>
        <v>8.4</v>
      </c>
    </row>
    <row r="16" spans="1:14">
      <c r="A16" s="1116"/>
      <c r="B16" s="270" t="str">
        <f>'Master Assumptions'!B126</f>
        <v>Muskmelon</v>
      </c>
      <c r="C16" s="248">
        <f>'Master Assumptions'!$R$66*'Master Assumptions'!C126</f>
        <v>5.625</v>
      </c>
      <c r="D16" s="242">
        <f>'Master Assumptions'!$R$66*'Master Assumptions'!D126</f>
        <v>5.625</v>
      </c>
      <c r="E16" s="242">
        <f>'Master Assumptions'!$R$66*'Master Assumptions'!E126</f>
        <v>5.625</v>
      </c>
      <c r="F16" s="242">
        <f>'Master Assumptions'!$R$66*'Master Assumptions'!F126</f>
        <v>5.625</v>
      </c>
      <c r="G16" s="242">
        <f>'Master Assumptions'!$R$66*'Master Assumptions'!G126</f>
        <v>5.625</v>
      </c>
      <c r="H16" s="242">
        <f>'Master Assumptions'!$R$66*'Master Assumptions'!H126</f>
        <v>5.625</v>
      </c>
      <c r="I16" s="242">
        <f>'Master Assumptions'!$R$66*'Master Assumptions'!I126</f>
        <v>5.625</v>
      </c>
      <c r="J16" s="242">
        <f>'Master Assumptions'!$R$66*'Master Assumptions'!J126</f>
        <v>5.625</v>
      </c>
      <c r="K16" s="242">
        <f>'Master Assumptions'!$R$66*'Master Assumptions'!K126</f>
        <v>2.8125</v>
      </c>
      <c r="L16" s="242">
        <f>'Master Assumptions'!$R$66*'Master Assumptions'!L126</f>
        <v>2.8125</v>
      </c>
      <c r="M16" s="242">
        <f>'Master Assumptions'!$R$66*'Master Assumptions'!M126</f>
        <v>2.8125</v>
      </c>
      <c r="N16" s="242">
        <f>'Master Assumptions'!$R$66*'Master Assumptions'!N126</f>
        <v>2.8125</v>
      </c>
    </row>
    <row r="17" spans="1:14">
      <c r="A17" s="1116"/>
      <c r="B17" s="270" t="str">
        <f>'Master Assumptions'!B127</f>
        <v>Bitter gourd</v>
      </c>
      <c r="C17" s="248">
        <f>'Master Assumptions'!$S$66*'Master Assumptions'!C127</f>
        <v>0.52500000000000002</v>
      </c>
      <c r="D17" s="242">
        <f>'Master Assumptions'!$S$66*'Master Assumptions'!D127</f>
        <v>0.52500000000000002</v>
      </c>
      <c r="E17" s="242">
        <f>'Master Assumptions'!$S$66*'Master Assumptions'!E127</f>
        <v>0.52500000000000002</v>
      </c>
      <c r="F17" s="242">
        <f>'Master Assumptions'!$S$66*'Master Assumptions'!F127</f>
        <v>0.52500000000000002</v>
      </c>
      <c r="G17" s="242">
        <f>'Master Assumptions'!$S$66*'Master Assumptions'!G127</f>
        <v>0.52500000000000002</v>
      </c>
      <c r="H17" s="242">
        <f>'Master Assumptions'!$S$66*'Master Assumptions'!H127</f>
        <v>0.52500000000000002</v>
      </c>
      <c r="I17" s="242">
        <f>'Master Assumptions'!$S$66*'Master Assumptions'!I127</f>
        <v>0.52500000000000002</v>
      </c>
      <c r="J17" s="242">
        <f>'Master Assumptions'!$S$66*'Master Assumptions'!J127</f>
        <v>0.52500000000000002</v>
      </c>
      <c r="K17" s="242">
        <f>'Master Assumptions'!$S$66*'Master Assumptions'!K127</f>
        <v>0.26250000000000001</v>
      </c>
      <c r="L17" s="242">
        <f>'Master Assumptions'!$S$66*'Master Assumptions'!L127</f>
        <v>0.26250000000000001</v>
      </c>
      <c r="M17" s="242">
        <f>'Master Assumptions'!$S$66*'Master Assumptions'!M127</f>
        <v>0.26250000000000001</v>
      </c>
      <c r="N17" s="242">
        <f>'Master Assumptions'!$S$66*'Master Assumptions'!N127</f>
        <v>0.26250000000000001</v>
      </c>
    </row>
    <row r="18" spans="1:14">
      <c r="A18" s="1116"/>
      <c r="B18" s="270" t="str">
        <f>'Master Assumptions'!B128</f>
        <v>Wheat - 1544</v>
      </c>
      <c r="C18" s="248">
        <f>'Master Assumptions'!$T$66*'Master Assumptions'!C128</f>
        <v>0</v>
      </c>
      <c r="D18" s="242">
        <f>'Master Assumptions'!$T$66*'Master Assumptions'!D128</f>
        <v>0</v>
      </c>
      <c r="E18" s="242">
        <f>'Master Assumptions'!$T$66*'Master Assumptions'!E128</f>
        <v>0</v>
      </c>
      <c r="F18" s="242">
        <f>'Master Assumptions'!$T$66*'Master Assumptions'!F128</f>
        <v>937.99999999999989</v>
      </c>
      <c r="G18" s="242">
        <f>'Master Assumptions'!$T$66*'Master Assumptions'!G128</f>
        <v>134</v>
      </c>
      <c r="H18" s="242">
        <f>'Master Assumptions'!$T$66*'Master Assumptions'!H128</f>
        <v>268</v>
      </c>
      <c r="I18" s="242">
        <f>'Master Assumptions'!$T$66*'Master Assumptions'!I128</f>
        <v>0</v>
      </c>
      <c r="J18" s="242">
        <f>'Master Assumptions'!$T$66*'Master Assumptions'!J128</f>
        <v>0</v>
      </c>
      <c r="K18" s="242">
        <f>'Master Assumptions'!$T$66*'Master Assumptions'!K128</f>
        <v>0</v>
      </c>
      <c r="L18" s="242">
        <f>'Master Assumptions'!$T$66*'Master Assumptions'!L128</f>
        <v>0</v>
      </c>
      <c r="M18" s="242">
        <f>'Master Assumptions'!$T$66*'Master Assumptions'!M128</f>
        <v>0</v>
      </c>
      <c r="N18" s="242">
        <f>'Master Assumptions'!$T$66*'Master Assumptions'!N128</f>
        <v>0</v>
      </c>
    </row>
    <row r="19" spans="1:14">
      <c r="A19" s="1116"/>
      <c r="B19" s="270" t="str">
        <f>'Master Assumptions'!B129</f>
        <v>Wheat- 273</v>
      </c>
      <c r="C19" s="248">
        <f>'Master Assumptions'!$U$66*'Master Assumptions'!C129</f>
        <v>0</v>
      </c>
      <c r="D19" s="242">
        <f>'Master Assumptions'!$U$66*'Master Assumptions'!D129</f>
        <v>0</v>
      </c>
      <c r="E19" s="242">
        <f>'Master Assumptions'!$U$66*'Master Assumptions'!E129</f>
        <v>0</v>
      </c>
      <c r="F19" s="242">
        <f>'Master Assumptions'!$U$66*'Master Assumptions'!F129</f>
        <v>0</v>
      </c>
      <c r="G19" s="242">
        <f>'Master Assumptions'!$U$66*'Master Assumptions'!G129</f>
        <v>0</v>
      </c>
      <c r="H19" s="242">
        <f>'Master Assumptions'!$U$66*'Master Assumptions'!H129</f>
        <v>486</v>
      </c>
      <c r="I19" s="242">
        <f>'Master Assumptions'!$U$66*'Master Assumptions'!I129</f>
        <v>194.4</v>
      </c>
      <c r="J19" s="242">
        <f>'Master Assumptions'!$U$66*'Master Assumptions'!J129</f>
        <v>291.59999999999997</v>
      </c>
      <c r="K19" s="242">
        <f>'Master Assumptions'!$U$66*'Master Assumptions'!K129</f>
        <v>0</v>
      </c>
      <c r="L19" s="242">
        <f>'Master Assumptions'!$U$66*'Master Assumptions'!L129</f>
        <v>0</v>
      </c>
      <c r="M19" s="242">
        <f>'Master Assumptions'!$U$66*'Master Assumptions'!M129</f>
        <v>0</v>
      </c>
      <c r="N19" s="242">
        <f>'Master Assumptions'!$U$66*'Master Assumptions'!N129</f>
        <v>0</v>
      </c>
    </row>
    <row r="20" spans="1:14" ht="16.5" thickBot="1">
      <c r="A20" s="1116"/>
      <c r="B20" s="270" t="str">
        <f>'Master Assumptions'!B130</f>
        <v>Gram - GJ221</v>
      </c>
      <c r="C20" s="252">
        <f>'Master Assumptions'!$V$66*'Master Assumptions'!C130</f>
        <v>0</v>
      </c>
      <c r="D20" s="252">
        <f>'Master Assumptions'!$V$66*'Master Assumptions'!D130</f>
        <v>0</v>
      </c>
      <c r="E20" s="252">
        <f>'Master Assumptions'!$V$66*'Master Assumptions'!E130</f>
        <v>838.8</v>
      </c>
      <c r="F20" s="252">
        <f>'Master Assumptions'!$V$66*'Master Assumptions'!F130</f>
        <v>1118.4000000000001</v>
      </c>
      <c r="G20" s="252">
        <f>'Master Assumptions'!$V$66*'Master Assumptions'!G130</f>
        <v>838.8</v>
      </c>
      <c r="H20" s="252">
        <f>'Master Assumptions'!$V$66*'Master Assumptions'!H130</f>
        <v>0</v>
      </c>
      <c r="I20" s="252">
        <f>'Master Assumptions'!$V$66*'Master Assumptions'!I130</f>
        <v>0</v>
      </c>
      <c r="J20" s="252">
        <f>'Master Assumptions'!$V$66*'Master Assumptions'!J130</f>
        <v>0</v>
      </c>
      <c r="K20" s="252">
        <f>'Master Assumptions'!$V$66*'Master Assumptions'!K130</f>
        <v>0</v>
      </c>
      <c r="L20" s="252">
        <f>'Master Assumptions'!$V$66*'Master Assumptions'!L130</f>
        <v>0</v>
      </c>
      <c r="M20" s="252">
        <f>'Master Assumptions'!$V$66*'Master Assumptions'!M130</f>
        <v>0</v>
      </c>
      <c r="N20" s="252">
        <f>'Master Assumptions'!$V$66*'Master Assumptions'!N130</f>
        <v>0</v>
      </c>
    </row>
    <row r="21" spans="1:14">
      <c r="A21" s="1117" t="s">
        <v>143</v>
      </c>
      <c r="B21" s="270" t="str">
        <f>'Master Assumptions'!B131</f>
        <v>Urea</v>
      </c>
      <c r="C21" s="248">
        <f>'Master Assumptions'!$B$77*'Master Assumptions'!C131</f>
        <v>2000</v>
      </c>
      <c r="D21" s="248">
        <f>'Master Assumptions'!$B$77*'Master Assumptions'!D131</f>
        <v>2000</v>
      </c>
      <c r="E21" s="248">
        <f>'Master Assumptions'!$B$77*'Master Assumptions'!E131</f>
        <v>2000</v>
      </c>
      <c r="F21" s="248">
        <f>'Master Assumptions'!$B$77*'Master Assumptions'!F131</f>
        <v>2000</v>
      </c>
      <c r="G21" s="248">
        <f>'Master Assumptions'!$B$77*'Master Assumptions'!G131</f>
        <v>2000</v>
      </c>
      <c r="H21" s="248">
        <f>'Master Assumptions'!$B$77*'Master Assumptions'!H131</f>
        <v>2000</v>
      </c>
      <c r="I21" s="248">
        <f>'Master Assumptions'!$B$77*'Master Assumptions'!I131</f>
        <v>2000</v>
      </c>
      <c r="J21" s="248">
        <f>'Master Assumptions'!$B$77*'Master Assumptions'!J131</f>
        <v>2000</v>
      </c>
      <c r="K21" s="248">
        <f>'Master Assumptions'!$B$77*'Master Assumptions'!K131</f>
        <v>1000</v>
      </c>
      <c r="L21" s="248">
        <f>'Master Assumptions'!$B$77*'Master Assumptions'!L131</f>
        <v>1000</v>
      </c>
      <c r="M21" s="248">
        <f>'Master Assumptions'!$B$77*'Master Assumptions'!M131</f>
        <v>1000</v>
      </c>
      <c r="N21" s="248">
        <f>'Master Assumptions'!$B$77*'Master Assumptions'!N131</f>
        <v>1000</v>
      </c>
    </row>
    <row r="22" spans="1:14">
      <c r="A22" s="1116"/>
      <c r="B22" s="270" t="str">
        <f>'Master Assumptions'!B132</f>
        <v>DAP</v>
      </c>
      <c r="C22" s="248">
        <f>'Master Assumptions'!$B$78*'Master Assumptions'!C132</f>
        <v>500</v>
      </c>
      <c r="D22" s="242">
        <f>'Master Assumptions'!$B$78*'Master Assumptions'!D132</f>
        <v>500</v>
      </c>
      <c r="E22" s="242">
        <f>'Master Assumptions'!$B$78*'Master Assumptions'!E132</f>
        <v>500</v>
      </c>
      <c r="F22" s="242">
        <f>'Master Assumptions'!$B$78*'Master Assumptions'!F132</f>
        <v>500</v>
      </c>
      <c r="G22" s="242">
        <f>'Master Assumptions'!$B$78*'Master Assumptions'!G132</f>
        <v>500</v>
      </c>
      <c r="H22" s="242">
        <f>'Master Assumptions'!$B$78*'Master Assumptions'!H132</f>
        <v>500</v>
      </c>
      <c r="I22" s="242">
        <f>'Master Assumptions'!$B$78*'Master Assumptions'!I132</f>
        <v>500</v>
      </c>
      <c r="J22" s="242">
        <f>'Master Assumptions'!$B$78*'Master Assumptions'!J132</f>
        <v>500</v>
      </c>
      <c r="K22" s="242">
        <f>'Master Assumptions'!$B$78*'Master Assumptions'!K132</f>
        <v>250</v>
      </c>
      <c r="L22" s="242">
        <f>'Master Assumptions'!$B$78*'Master Assumptions'!L132</f>
        <v>250</v>
      </c>
      <c r="M22" s="242">
        <f>'Master Assumptions'!$B$78*'Master Assumptions'!M132</f>
        <v>250</v>
      </c>
      <c r="N22" s="242">
        <f>'Master Assumptions'!$B$78*'Master Assumptions'!N132</f>
        <v>250</v>
      </c>
    </row>
    <row r="23" spans="1:14">
      <c r="A23" s="1116"/>
      <c r="B23" s="270" t="str">
        <f>'Master Assumptions'!B133</f>
        <v>SSP</v>
      </c>
      <c r="C23" s="248">
        <f>'Master Assumptions'!$B$79*'Master Assumptions'!C133</f>
        <v>1500</v>
      </c>
      <c r="D23" s="242">
        <f>'Master Assumptions'!$B$79*'Master Assumptions'!D133</f>
        <v>1500</v>
      </c>
      <c r="E23" s="242">
        <f>'Master Assumptions'!$B$79*'Master Assumptions'!E133</f>
        <v>1500</v>
      </c>
      <c r="F23" s="242">
        <f>'Master Assumptions'!$B$79*'Master Assumptions'!F133</f>
        <v>1500</v>
      </c>
      <c r="G23" s="242">
        <f>'Master Assumptions'!$B$79*'Master Assumptions'!G133</f>
        <v>1500</v>
      </c>
      <c r="H23" s="242">
        <f>'Master Assumptions'!$B$79*'Master Assumptions'!H133</f>
        <v>1500</v>
      </c>
      <c r="I23" s="242">
        <f>'Master Assumptions'!$B$79*'Master Assumptions'!I133</f>
        <v>1500</v>
      </c>
      <c r="J23" s="242">
        <f>'Master Assumptions'!$B$79*'Master Assumptions'!J133</f>
        <v>1500</v>
      </c>
      <c r="K23" s="242">
        <f>'Master Assumptions'!$B$79*'Master Assumptions'!K133</f>
        <v>750</v>
      </c>
      <c r="L23" s="242">
        <f>'Master Assumptions'!$B$79*'Master Assumptions'!L133</f>
        <v>750</v>
      </c>
      <c r="M23" s="242">
        <f>'Master Assumptions'!$B$79*'Master Assumptions'!M133</f>
        <v>750</v>
      </c>
      <c r="N23" s="242">
        <f>'Master Assumptions'!$B$79*'Master Assumptions'!N133</f>
        <v>750</v>
      </c>
    </row>
    <row r="24" spans="1:14">
      <c r="A24" s="1116"/>
      <c r="B24" s="270" t="str">
        <f>'Master Assumptions'!B134</f>
        <v>NPK 19 19 19</v>
      </c>
      <c r="C24" s="248">
        <f>'Master Assumptions'!$B$80*'Master Assumptions'!C134</f>
        <v>2000</v>
      </c>
      <c r="D24" s="242">
        <f>'Master Assumptions'!$B$80*'Master Assumptions'!D134</f>
        <v>2000</v>
      </c>
      <c r="E24" s="242">
        <f>'Master Assumptions'!$B$80*'Master Assumptions'!E134</f>
        <v>2000</v>
      </c>
      <c r="F24" s="242">
        <f>'Master Assumptions'!$B$80*'Master Assumptions'!F134</f>
        <v>2000</v>
      </c>
      <c r="G24" s="242">
        <f>'Master Assumptions'!$B$80*'Master Assumptions'!G134</f>
        <v>2000</v>
      </c>
      <c r="H24" s="242">
        <f>'Master Assumptions'!$B$80*'Master Assumptions'!H134</f>
        <v>2000</v>
      </c>
      <c r="I24" s="242">
        <f>'Master Assumptions'!$B$80*'Master Assumptions'!I134</f>
        <v>2000</v>
      </c>
      <c r="J24" s="242">
        <f>'Master Assumptions'!$B$80*'Master Assumptions'!J134</f>
        <v>2000</v>
      </c>
      <c r="K24" s="242">
        <f>'Master Assumptions'!$B$80*'Master Assumptions'!K134</f>
        <v>1000</v>
      </c>
      <c r="L24" s="242">
        <f>'Master Assumptions'!$B$80*'Master Assumptions'!L134</f>
        <v>1000</v>
      </c>
      <c r="M24" s="242">
        <f>'Master Assumptions'!$B$80*'Master Assumptions'!M134</f>
        <v>1000</v>
      </c>
      <c r="N24" s="242">
        <f>'Master Assumptions'!$B$80*'Master Assumptions'!N134</f>
        <v>1000</v>
      </c>
    </row>
    <row r="25" spans="1:14">
      <c r="A25" s="1116"/>
      <c r="B25" s="270" t="str">
        <f>'Master Assumptions'!B135</f>
        <v>12, 61, 0</v>
      </c>
      <c r="C25" s="248">
        <f>'Master Assumptions'!$B$81*'Master Assumptions'!C135</f>
        <v>1500</v>
      </c>
      <c r="D25" s="242">
        <f>'Master Assumptions'!$B$81*'Master Assumptions'!D135</f>
        <v>1500</v>
      </c>
      <c r="E25" s="242">
        <f>'Master Assumptions'!$B$81*'Master Assumptions'!E135</f>
        <v>1500</v>
      </c>
      <c r="F25" s="242">
        <f>'Master Assumptions'!$B$81*'Master Assumptions'!F135</f>
        <v>1500</v>
      </c>
      <c r="G25" s="242">
        <f>'Master Assumptions'!$B$81*'Master Assumptions'!G135</f>
        <v>1500</v>
      </c>
      <c r="H25" s="242">
        <f>'Master Assumptions'!$B$81*'Master Assumptions'!H135</f>
        <v>1500</v>
      </c>
      <c r="I25" s="242">
        <f>'Master Assumptions'!$B$81*'Master Assumptions'!I135</f>
        <v>1500</v>
      </c>
      <c r="J25" s="242">
        <f>'Master Assumptions'!$B$81*'Master Assumptions'!J135</f>
        <v>1500</v>
      </c>
      <c r="K25" s="242">
        <f>'Master Assumptions'!$B$81*'Master Assumptions'!K135</f>
        <v>750</v>
      </c>
      <c r="L25" s="242">
        <f>'Master Assumptions'!$B$81*'Master Assumptions'!L135</f>
        <v>750</v>
      </c>
      <c r="M25" s="242">
        <f>'Master Assumptions'!$B$81*'Master Assumptions'!M135</f>
        <v>750</v>
      </c>
      <c r="N25" s="242">
        <f>'Master Assumptions'!$B$81*'Master Assumptions'!N135</f>
        <v>750</v>
      </c>
    </row>
    <row r="26" spans="1:14">
      <c r="A26" s="1116"/>
      <c r="B26" s="270" t="str">
        <f>'Master Assumptions'!B136</f>
        <v>13, 0, 45</v>
      </c>
      <c r="C26" s="248">
        <f>'Master Assumptions'!$B$82*'Master Assumptions'!C136</f>
        <v>1500</v>
      </c>
      <c r="D26" s="242">
        <f>'Master Assumptions'!$B$82*'Master Assumptions'!D136</f>
        <v>1500</v>
      </c>
      <c r="E26" s="242">
        <f>'Master Assumptions'!$B$82*'Master Assumptions'!E136</f>
        <v>1500</v>
      </c>
      <c r="F26" s="242">
        <f>'Master Assumptions'!$B$82*'Master Assumptions'!F136</f>
        <v>1500</v>
      </c>
      <c r="G26" s="242">
        <f>'Master Assumptions'!$B$82*'Master Assumptions'!G136</f>
        <v>1500</v>
      </c>
      <c r="H26" s="242">
        <f>'Master Assumptions'!$B$82*'Master Assumptions'!H136</f>
        <v>1500</v>
      </c>
      <c r="I26" s="242">
        <f>'Master Assumptions'!$B$82*'Master Assumptions'!I136</f>
        <v>1500</v>
      </c>
      <c r="J26" s="242">
        <f>'Master Assumptions'!$B$82*'Master Assumptions'!J136</f>
        <v>1500</v>
      </c>
      <c r="K26" s="242">
        <f>'Master Assumptions'!$B$82*'Master Assumptions'!K136</f>
        <v>750</v>
      </c>
      <c r="L26" s="242">
        <f>'Master Assumptions'!$B$82*'Master Assumptions'!L136</f>
        <v>750</v>
      </c>
      <c r="M26" s="242">
        <f>'Master Assumptions'!$B$82*'Master Assumptions'!M136</f>
        <v>750</v>
      </c>
      <c r="N26" s="242">
        <f>'Master Assumptions'!$B$82*'Master Assumptions'!N136</f>
        <v>750</v>
      </c>
    </row>
    <row r="27" spans="1:14">
      <c r="A27" s="1116"/>
      <c r="B27" s="270" t="str">
        <f>'Master Assumptions'!B137</f>
        <v>Calcium nitrate</v>
      </c>
      <c r="C27" s="248">
        <f>'Master Assumptions'!$B$83*'Master Assumptions'!C137</f>
        <v>1500</v>
      </c>
      <c r="D27" s="242">
        <f>'Master Assumptions'!$B$83*'Master Assumptions'!D137</f>
        <v>1500</v>
      </c>
      <c r="E27" s="242">
        <f>'Master Assumptions'!$B$83*'Master Assumptions'!E137</f>
        <v>1500</v>
      </c>
      <c r="F27" s="242">
        <f>'Master Assumptions'!$B$83*'Master Assumptions'!F137</f>
        <v>1500</v>
      </c>
      <c r="G27" s="242">
        <f>'Master Assumptions'!$B$83*'Master Assumptions'!G137</f>
        <v>1500</v>
      </c>
      <c r="H27" s="242">
        <f>'Master Assumptions'!$B$83*'Master Assumptions'!H137</f>
        <v>1500</v>
      </c>
      <c r="I27" s="242">
        <f>'Master Assumptions'!$B$83*'Master Assumptions'!I137</f>
        <v>1500</v>
      </c>
      <c r="J27" s="242">
        <f>'Master Assumptions'!$B$83*'Master Assumptions'!J137</f>
        <v>1500</v>
      </c>
      <c r="K27" s="242">
        <f>'Master Assumptions'!$B$83*'Master Assumptions'!K137</f>
        <v>750</v>
      </c>
      <c r="L27" s="242">
        <f>'Master Assumptions'!$B$83*'Master Assumptions'!L137</f>
        <v>750</v>
      </c>
      <c r="M27" s="242">
        <f>'Master Assumptions'!$B$83*'Master Assumptions'!M137</f>
        <v>750</v>
      </c>
      <c r="N27" s="242">
        <f>'Master Assumptions'!$B$83*'Master Assumptions'!N137</f>
        <v>750</v>
      </c>
    </row>
    <row r="28" spans="1:14">
      <c r="A28" s="1116"/>
      <c r="B28" s="270" t="str">
        <f>'Master Assumptions'!B138</f>
        <v>MGSO4</v>
      </c>
      <c r="C28" s="242">
        <f>'Master Assumptions'!$B$84*'Master Assumptions'!C138</f>
        <v>1000</v>
      </c>
      <c r="D28" s="242">
        <f>'Master Assumptions'!$B$84*'Master Assumptions'!D138</f>
        <v>1000</v>
      </c>
      <c r="E28" s="242">
        <f>'Master Assumptions'!$B$84*'Master Assumptions'!E138</f>
        <v>1000</v>
      </c>
      <c r="F28" s="242">
        <f>'Master Assumptions'!$B$84*'Master Assumptions'!F138</f>
        <v>1000</v>
      </c>
      <c r="G28" s="242">
        <f>'Master Assumptions'!$B$84*'Master Assumptions'!G138</f>
        <v>1000</v>
      </c>
      <c r="H28" s="242">
        <f>'Master Assumptions'!$B$84*'Master Assumptions'!H138</f>
        <v>1000</v>
      </c>
      <c r="I28" s="242">
        <f>'Master Assumptions'!$B$84*'Master Assumptions'!I138</f>
        <v>1000</v>
      </c>
      <c r="J28" s="242">
        <f>'Master Assumptions'!$B$84*'Master Assumptions'!J138</f>
        <v>1000</v>
      </c>
      <c r="K28" s="242">
        <f>'Master Assumptions'!$B$84*'Master Assumptions'!K138</f>
        <v>500</v>
      </c>
      <c r="L28" s="242">
        <f>'Master Assumptions'!$B$84*'Master Assumptions'!L138</f>
        <v>500</v>
      </c>
      <c r="M28" s="242">
        <f>'Master Assumptions'!$B$84*'Master Assumptions'!M138</f>
        <v>500</v>
      </c>
      <c r="N28" s="242">
        <f>'Master Assumptions'!$B$84*'Master Assumptions'!N138</f>
        <v>500</v>
      </c>
    </row>
    <row r="29" spans="1:14">
      <c r="A29" s="1116"/>
      <c r="B29" s="270" t="str">
        <f>'Master Assumptions'!B139</f>
        <v>0 52 34</v>
      </c>
      <c r="C29" s="242">
        <f>'Master Assumptions'!$B$85*'Master Assumptions'!C139</f>
        <v>1500</v>
      </c>
      <c r="D29" s="242">
        <f>'Master Assumptions'!$B$85*'Master Assumptions'!D139</f>
        <v>1500</v>
      </c>
      <c r="E29" s="242">
        <f>'Master Assumptions'!$B$85*'Master Assumptions'!E139</f>
        <v>1500</v>
      </c>
      <c r="F29" s="242">
        <f>'Master Assumptions'!$B$85*'Master Assumptions'!F139</f>
        <v>1500</v>
      </c>
      <c r="G29" s="242">
        <f>'Master Assumptions'!$B$85*'Master Assumptions'!G139</f>
        <v>1500</v>
      </c>
      <c r="H29" s="242">
        <f>'Master Assumptions'!$B$85*'Master Assumptions'!H139</f>
        <v>1500</v>
      </c>
      <c r="I29" s="242">
        <f>'Master Assumptions'!$B$85*'Master Assumptions'!I139</f>
        <v>1500</v>
      </c>
      <c r="J29" s="242">
        <f>'Master Assumptions'!$B$85*'Master Assumptions'!J139</f>
        <v>1500</v>
      </c>
      <c r="K29" s="242">
        <f>'Master Assumptions'!$B$85*'Master Assumptions'!K139</f>
        <v>750</v>
      </c>
      <c r="L29" s="242">
        <f>'Master Assumptions'!$B$85*'Master Assumptions'!L139</f>
        <v>750</v>
      </c>
      <c r="M29" s="242">
        <f>'Master Assumptions'!$B$85*'Master Assumptions'!M139</f>
        <v>750</v>
      </c>
      <c r="N29" s="242">
        <f>'Master Assumptions'!$B$85*'Master Assumptions'!N139</f>
        <v>750</v>
      </c>
    </row>
    <row r="30" spans="1:14">
      <c r="A30" s="1116"/>
      <c r="B30" s="270" t="str">
        <f>'Master Assumptions'!B140</f>
        <v>13 40 13</v>
      </c>
      <c r="C30" s="242">
        <f>'Master Assumptions'!$B$86*'Master Assumptions'!C140</f>
        <v>1000</v>
      </c>
      <c r="D30" s="242">
        <f>'Master Assumptions'!$B$86*'Master Assumptions'!D140</f>
        <v>1000</v>
      </c>
      <c r="E30" s="242">
        <f>'Master Assumptions'!$B$86*'Master Assumptions'!E140</f>
        <v>1000</v>
      </c>
      <c r="F30" s="242">
        <f>'Master Assumptions'!$B$86*'Master Assumptions'!F140</f>
        <v>1000</v>
      </c>
      <c r="G30" s="242">
        <f>'Master Assumptions'!$B$86*'Master Assumptions'!G140</f>
        <v>1000</v>
      </c>
      <c r="H30" s="242">
        <f>'Master Assumptions'!$B$86*'Master Assumptions'!H140</f>
        <v>1000</v>
      </c>
      <c r="I30" s="242">
        <f>'Master Assumptions'!$B$86*'Master Assumptions'!I140</f>
        <v>1000</v>
      </c>
      <c r="J30" s="242">
        <f>'Master Assumptions'!$B$86*'Master Assumptions'!J140</f>
        <v>1000</v>
      </c>
      <c r="K30" s="242">
        <f>'Master Assumptions'!$B$86*'Master Assumptions'!K140</f>
        <v>500</v>
      </c>
      <c r="L30" s="242">
        <f>'Master Assumptions'!$B$86*'Master Assumptions'!L140</f>
        <v>500</v>
      </c>
      <c r="M30" s="242">
        <f>'Master Assumptions'!$B$86*'Master Assumptions'!M140</f>
        <v>500</v>
      </c>
      <c r="N30" s="242">
        <f>'Master Assumptions'!$B$86*'Master Assumptions'!N140</f>
        <v>500</v>
      </c>
    </row>
    <row r="31" spans="1:14">
      <c r="A31" s="1116"/>
      <c r="B31" s="270" t="str">
        <f>'Master Assumptions'!B141</f>
        <v>Micro nutrients</v>
      </c>
      <c r="C31" s="242">
        <f>'Master Assumptions'!$B$87*'Master Assumptions'!C141</f>
        <v>500</v>
      </c>
      <c r="D31" s="242">
        <f>'Master Assumptions'!$B$87*'Master Assumptions'!D141</f>
        <v>500</v>
      </c>
      <c r="E31" s="242">
        <f>'Master Assumptions'!$B$87*'Master Assumptions'!E141</f>
        <v>500</v>
      </c>
      <c r="F31" s="242">
        <f>'Master Assumptions'!$B$87*'Master Assumptions'!F141</f>
        <v>500</v>
      </c>
      <c r="G31" s="242">
        <f>'Master Assumptions'!$B$87*'Master Assumptions'!G141</f>
        <v>500</v>
      </c>
      <c r="H31" s="242">
        <f>'Master Assumptions'!$B$87*'Master Assumptions'!H141</f>
        <v>500</v>
      </c>
      <c r="I31" s="242">
        <f>'Master Assumptions'!$B$87*'Master Assumptions'!I141</f>
        <v>500</v>
      </c>
      <c r="J31" s="242">
        <f>'Master Assumptions'!$B$87*'Master Assumptions'!J141</f>
        <v>500</v>
      </c>
      <c r="K31" s="242">
        <f>'Master Assumptions'!$B$87*'Master Assumptions'!K141</f>
        <v>250</v>
      </c>
      <c r="L31" s="242">
        <f>'Master Assumptions'!$B$87*'Master Assumptions'!L141</f>
        <v>250</v>
      </c>
      <c r="M31" s="242">
        <f>'Master Assumptions'!$B$87*'Master Assumptions'!M141</f>
        <v>250</v>
      </c>
      <c r="N31" s="242">
        <f>'Master Assumptions'!$B$87*'Master Assumptions'!N141</f>
        <v>250</v>
      </c>
    </row>
    <row r="32" spans="1:14" ht="16.5" thickBot="1">
      <c r="A32" s="1118"/>
      <c r="B32" s="270" t="str">
        <f>'Master Assumptions'!B142</f>
        <v>Humic acid</v>
      </c>
      <c r="C32" s="252">
        <f>'Master Assumptions'!$B$88*'Master Assumptions'!C142</f>
        <v>20</v>
      </c>
      <c r="D32" s="252">
        <f>'Master Assumptions'!$B$88*'Master Assumptions'!D142</f>
        <v>20</v>
      </c>
      <c r="E32" s="252">
        <f>'Master Assumptions'!$B$88*'Master Assumptions'!E142</f>
        <v>20</v>
      </c>
      <c r="F32" s="252">
        <f>'Master Assumptions'!$B$88*'Master Assumptions'!F142</f>
        <v>20</v>
      </c>
      <c r="G32" s="252">
        <f>'Master Assumptions'!$B$88*'Master Assumptions'!G142</f>
        <v>20</v>
      </c>
      <c r="H32" s="252">
        <f>'Master Assumptions'!$B$88*'Master Assumptions'!H142</f>
        <v>20</v>
      </c>
      <c r="I32" s="252">
        <f>'Master Assumptions'!$B$88*'Master Assumptions'!I142</f>
        <v>20</v>
      </c>
      <c r="J32" s="252">
        <f>'Master Assumptions'!$B$88*'Master Assumptions'!J142</f>
        <v>20</v>
      </c>
      <c r="K32" s="252">
        <f>'Master Assumptions'!$B$88*'Master Assumptions'!K142</f>
        <v>10</v>
      </c>
      <c r="L32" s="252">
        <f>'Master Assumptions'!$B$88*'Master Assumptions'!L142</f>
        <v>10</v>
      </c>
      <c r="M32" s="252">
        <f>'Master Assumptions'!$B$88*'Master Assumptions'!M142</f>
        <v>10</v>
      </c>
      <c r="N32" s="252">
        <f>'Master Assumptions'!$B$88*'Master Assumptions'!N142</f>
        <v>10</v>
      </c>
    </row>
    <row r="33" spans="1:14">
      <c r="A33" s="1117" t="s">
        <v>156</v>
      </c>
      <c r="B33" s="270" t="str">
        <f>'Master Assumptions'!B143</f>
        <v>profenofaas</v>
      </c>
      <c r="C33" s="248">
        <f>'Master Assumptions'!$B$90*'Master Assumptions'!C143</f>
        <v>1.5</v>
      </c>
      <c r="D33" s="248">
        <f>'Master Assumptions'!$B$90*'Master Assumptions'!D143</f>
        <v>1.5</v>
      </c>
      <c r="E33" s="248">
        <f>'Master Assumptions'!$B$90*'Master Assumptions'!E143</f>
        <v>1.5</v>
      </c>
      <c r="F33" s="248">
        <f>'Master Assumptions'!$B$90*'Master Assumptions'!F143</f>
        <v>1.5</v>
      </c>
      <c r="G33" s="248">
        <f>'Master Assumptions'!$B$90*'Master Assumptions'!G143</f>
        <v>1.5</v>
      </c>
      <c r="H33" s="248">
        <f>'Master Assumptions'!$B$90*'Master Assumptions'!H143</f>
        <v>1.5</v>
      </c>
      <c r="I33" s="248">
        <f>'Master Assumptions'!$B$90*'Master Assumptions'!I143</f>
        <v>1.5</v>
      </c>
      <c r="J33" s="248">
        <f>'Master Assumptions'!$B$90*'Master Assumptions'!J143</f>
        <v>1.5</v>
      </c>
      <c r="K33" s="248">
        <f>'Master Assumptions'!$B$90*'Master Assumptions'!K143</f>
        <v>0.75</v>
      </c>
      <c r="L33" s="248">
        <f>'Master Assumptions'!$B$90*'Master Assumptions'!L143</f>
        <v>0.75</v>
      </c>
      <c r="M33" s="248">
        <f>'Master Assumptions'!$B$90*'Master Assumptions'!M143</f>
        <v>0.75</v>
      </c>
      <c r="N33" s="248">
        <f>'Master Assumptions'!$B$90*'Master Assumptions'!N143</f>
        <v>0.75</v>
      </c>
    </row>
    <row r="34" spans="1:14">
      <c r="A34" s="1116"/>
      <c r="B34" s="270" t="str">
        <f>'Master Assumptions'!B144</f>
        <v>Cartep</v>
      </c>
      <c r="C34" s="242">
        <f>'Master Assumptions'!$B$91*'Master Assumptions'!C144</f>
        <v>1.5</v>
      </c>
      <c r="D34" s="242">
        <f>'Master Assumptions'!$B$91*'Master Assumptions'!D144</f>
        <v>1.5</v>
      </c>
      <c r="E34" s="242">
        <f>'Master Assumptions'!$B$91*'Master Assumptions'!E144</f>
        <v>1.5</v>
      </c>
      <c r="F34" s="242">
        <f>'Master Assumptions'!$B$91*'Master Assumptions'!F144</f>
        <v>1.5</v>
      </c>
      <c r="G34" s="242">
        <f>'Master Assumptions'!$B$91*'Master Assumptions'!G144</f>
        <v>1.5</v>
      </c>
      <c r="H34" s="242">
        <f>'Master Assumptions'!$B$91*'Master Assumptions'!H144</f>
        <v>1.5</v>
      </c>
      <c r="I34" s="242">
        <f>'Master Assumptions'!$B$91*'Master Assumptions'!I144</f>
        <v>1.5</v>
      </c>
      <c r="J34" s="242">
        <f>'Master Assumptions'!$B$91*'Master Assumptions'!J144</f>
        <v>1.5</v>
      </c>
      <c r="K34" s="242">
        <f>'Master Assumptions'!$B$91*'Master Assumptions'!K144</f>
        <v>0.75</v>
      </c>
      <c r="L34" s="242">
        <f>'Master Assumptions'!$B$91*'Master Assumptions'!L144</f>
        <v>0.75</v>
      </c>
      <c r="M34" s="242">
        <f>'Master Assumptions'!$B$91*'Master Assumptions'!M144</f>
        <v>0.75</v>
      </c>
      <c r="N34" s="242">
        <f>'Master Assumptions'!$B$91*'Master Assumptions'!N144</f>
        <v>0.75</v>
      </c>
    </row>
    <row r="35" spans="1:14">
      <c r="A35" s="1116"/>
      <c r="B35" s="270" t="str">
        <f>'Master Assumptions'!B145</f>
        <v>chloropyrofaas</v>
      </c>
      <c r="C35" s="242">
        <f>'Master Assumptions'!$B$92*'Master Assumptions'!C145</f>
        <v>4</v>
      </c>
      <c r="D35" s="242">
        <f>'Master Assumptions'!$B$92*'Master Assumptions'!D145</f>
        <v>4</v>
      </c>
      <c r="E35" s="242">
        <f>'Master Assumptions'!$B$92*'Master Assumptions'!E145</f>
        <v>4</v>
      </c>
      <c r="F35" s="242">
        <f>'Master Assumptions'!$B$92*'Master Assumptions'!F145</f>
        <v>4</v>
      </c>
      <c r="G35" s="242">
        <f>'Master Assumptions'!$B$92*'Master Assumptions'!G145</f>
        <v>4</v>
      </c>
      <c r="H35" s="242">
        <f>'Master Assumptions'!$B$92*'Master Assumptions'!H145</f>
        <v>4</v>
      </c>
      <c r="I35" s="242">
        <f>'Master Assumptions'!$B$92*'Master Assumptions'!I145</f>
        <v>4</v>
      </c>
      <c r="J35" s="242">
        <f>'Master Assumptions'!$B$92*'Master Assumptions'!J145</f>
        <v>4</v>
      </c>
      <c r="K35" s="242">
        <f>'Master Assumptions'!$B$92*'Master Assumptions'!K145</f>
        <v>2</v>
      </c>
      <c r="L35" s="242">
        <f>'Master Assumptions'!$B$92*'Master Assumptions'!L145</f>
        <v>2</v>
      </c>
      <c r="M35" s="242">
        <f>'Master Assumptions'!$B$92*'Master Assumptions'!M145</f>
        <v>2</v>
      </c>
      <c r="N35" s="242">
        <f>'Master Assumptions'!$B$92*'Master Assumptions'!N145</f>
        <v>2</v>
      </c>
    </row>
    <row r="36" spans="1:14">
      <c r="A36" s="1116"/>
      <c r="B36" s="270" t="str">
        <f>'Master Assumptions'!B146</f>
        <v>imamectine</v>
      </c>
      <c r="C36" s="242">
        <f>'Master Assumptions'!$B$93*'Master Assumptions'!C146</f>
        <v>1.5</v>
      </c>
      <c r="D36" s="242">
        <f>'Master Assumptions'!$B$93*'Master Assumptions'!D146</f>
        <v>1.5</v>
      </c>
      <c r="E36" s="242">
        <f>'Master Assumptions'!$B$93*'Master Assumptions'!E146</f>
        <v>1.5</v>
      </c>
      <c r="F36" s="242">
        <f>'Master Assumptions'!$B$93*'Master Assumptions'!F146</f>
        <v>1.5</v>
      </c>
      <c r="G36" s="242">
        <f>'Master Assumptions'!$B$93*'Master Assumptions'!G146</f>
        <v>1.5</v>
      </c>
      <c r="H36" s="242">
        <f>'Master Assumptions'!$B$93*'Master Assumptions'!H146</f>
        <v>1.5</v>
      </c>
      <c r="I36" s="242">
        <f>'Master Assumptions'!$B$93*'Master Assumptions'!I146</f>
        <v>1.5</v>
      </c>
      <c r="J36" s="242">
        <f>'Master Assumptions'!$B$93*'Master Assumptions'!J146</f>
        <v>1.5</v>
      </c>
      <c r="K36" s="242">
        <f>'Master Assumptions'!$B$93*'Master Assumptions'!K146</f>
        <v>0.75</v>
      </c>
      <c r="L36" s="242">
        <f>'Master Assumptions'!$B$93*'Master Assumptions'!L146</f>
        <v>0.75</v>
      </c>
      <c r="M36" s="242">
        <f>'Master Assumptions'!$B$93*'Master Assumptions'!M146</f>
        <v>0.75</v>
      </c>
      <c r="N36" s="242">
        <f>'Master Assumptions'!$B$93*'Master Assumptions'!N146</f>
        <v>0.75</v>
      </c>
    </row>
    <row r="37" spans="1:14">
      <c r="A37" s="1116"/>
      <c r="B37" s="270" t="str">
        <f>'Master Assumptions'!B147</f>
        <v>imida</v>
      </c>
      <c r="C37" s="242">
        <f>'Master Assumptions'!$B$94*'Master Assumptions'!C147</f>
        <v>3</v>
      </c>
      <c r="D37" s="242">
        <f>'Master Assumptions'!$B$94*'Master Assumptions'!D147</f>
        <v>3</v>
      </c>
      <c r="E37" s="242">
        <f>'Master Assumptions'!$B$94*'Master Assumptions'!E147</f>
        <v>3</v>
      </c>
      <c r="F37" s="242">
        <f>'Master Assumptions'!$B$94*'Master Assumptions'!F147</f>
        <v>3</v>
      </c>
      <c r="G37" s="242">
        <f>'Master Assumptions'!$B$94*'Master Assumptions'!G147</f>
        <v>3</v>
      </c>
      <c r="H37" s="242">
        <f>'Master Assumptions'!$B$94*'Master Assumptions'!H147</f>
        <v>3</v>
      </c>
      <c r="I37" s="242">
        <f>'Master Assumptions'!$B$94*'Master Assumptions'!I147</f>
        <v>3</v>
      </c>
      <c r="J37" s="242">
        <f>'Master Assumptions'!$B$94*'Master Assumptions'!J147</f>
        <v>3</v>
      </c>
      <c r="K37" s="242">
        <f>'Master Assumptions'!$B$94*'Master Assumptions'!K147</f>
        <v>1.5</v>
      </c>
      <c r="L37" s="242">
        <f>'Master Assumptions'!$B$94*'Master Assumptions'!L147</f>
        <v>1.5</v>
      </c>
      <c r="M37" s="242">
        <f>'Master Assumptions'!$B$94*'Master Assumptions'!M147</f>
        <v>1.5</v>
      </c>
      <c r="N37" s="242">
        <f>'Master Assumptions'!$B$94*'Master Assumptions'!N147</f>
        <v>1.5</v>
      </c>
    </row>
    <row r="38" spans="1:14">
      <c r="A38" s="1116"/>
      <c r="B38" s="270" t="str">
        <f>'Master Assumptions'!B148</f>
        <v>thimomathaxom</v>
      </c>
      <c r="C38" s="242">
        <f>'Master Assumptions'!$B$95*'Master Assumptions'!C148</f>
        <v>2</v>
      </c>
      <c r="D38" s="242">
        <f>'Master Assumptions'!$B$95*'Master Assumptions'!D148</f>
        <v>2</v>
      </c>
      <c r="E38" s="242">
        <f>'Master Assumptions'!$B$95*'Master Assumptions'!E148</f>
        <v>2</v>
      </c>
      <c r="F38" s="242">
        <f>'Master Assumptions'!$B$95*'Master Assumptions'!F148</f>
        <v>2</v>
      </c>
      <c r="G38" s="242">
        <f>'Master Assumptions'!$B$95*'Master Assumptions'!G148</f>
        <v>2</v>
      </c>
      <c r="H38" s="242">
        <f>'Master Assumptions'!$B$95*'Master Assumptions'!H148</f>
        <v>2</v>
      </c>
      <c r="I38" s="242">
        <f>'Master Assumptions'!$B$95*'Master Assumptions'!I148</f>
        <v>2</v>
      </c>
      <c r="J38" s="242">
        <f>'Master Assumptions'!$B$95*'Master Assumptions'!J148</f>
        <v>2</v>
      </c>
      <c r="K38" s="242">
        <f>'Master Assumptions'!$B$95*'Master Assumptions'!K148</f>
        <v>1</v>
      </c>
      <c r="L38" s="242">
        <f>'Master Assumptions'!$B$95*'Master Assumptions'!L148</f>
        <v>1</v>
      </c>
      <c r="M38" s="242">
        <f>'Master Assumptions'!$B$95*'Master Assumptions'!M148</f>
        <v>1</v>
      </c>
      <c r="N38" s="242">
        <f>'Master Assumptions'!$B$95*'Master Assumptions'!N148</f>
        <v>1</v>
      </c>
    </row>
    <row r="39" spans="1:14">
      <c r="A39" s="1116"/>
      <c r="B39" s="270" t="str">
        <f>'Master Assumptions'!B149</f>
        <v>acifate</v>
      </c>
      <c r="C39" s="242">
        <f>'Master Assumptions'!$B$96*'Master Assumptions'!C149</f>
        <v>5</v>
      </c>
      <c r="D39" s="242">
        <f>'Master Assumptions'!$B$96*'Master Assumptions'!D149</f>
        <v>5</v>
      </c>
      <c r="E39" s="242">
        <f>'Master Assumptions'!$B$96*'Master Assumptions'!E149</f>
        <v>5</v>
      </c>
      <c r="F39" s="242">
        <f>'Master Assumptions'!$B$96*'Master Assumptions'!F149</f>
        <v>5</v>
      </c>
      <c r="G39" s="242">
        <f>'Master Assumptions'!$B$96*'Master Assumptions'!G149</f>
        <v>5</v>
      </c>
      <c r="H39" s="242">
        <f>'Master Assumptions'!$B$96*'Master Assumptions'!H149</f>
        <v>5</v>
      </c>
      <c r="I39" s="242">
        <f>'Master Assumptions'!$B$96*'Master Assumptions'!I149</f>
        <v>5</v>
      </c>
      <c r="J39" s="242">
        <f>'Master Assumptions'!$B$96*'Master Assumptions'!J149</f>
        <v>5</v>
      </c>
      <c r="K39" s="242">
        <f>'Master Assumptions'!$B$96*'Master Assumptions'!K149</f>
        <v>2.5</v>
      </c>
      <c r="L39" s="242">
        <f>'Master Assumptions'!$B$96*'Master Assumptions'!L149</f>
        <v>2.5</v>
      </c>
      <c r="M39" s="242">
        <f>'Master Assumptions'!$B$96*'Master Assumptions'!M149</f>
        <v>2.5</v>
      </c>
      <c r="N39" s="242">
        <f>'Master Assumptions'!$B$96*'Master Assumptions'!N149</f>
        <v>2.5</v>
      </c>
    </row>
    <row r="40" spans="1:14" ht="16.5" thickBot="1">
      <c r="A40" s="1118"/>
      <c r="B40" s="270" t="str">
        <f>'Master Assumptions'!B150</f>
        <v>Cypermathene</v>
      </c>
      <c r="C40" s="252">
        <f>'Master Assumptions'!$B$97*'Master Assumptions'!C150</f>
        <v>1.5</v>
      </c>
      <c r="D40" s="252">
        <f>'Master Assumptions'!$B$97*'Master Assumptions'!D150</f>
        <v>1.5</v>
      </c>
      <c r="E40" s="252">
        <f>'Master Assumptions'!$B$97*'Master Assumptions'!E150</f>
        <v>1.5</v>
      </c>
      <c r="F40" s="252">
        <f>'Master Assumptions'!$B$97*'Master Assumptions'!F150</f>
        <v>1.5</v>
      </c>
      <c r="G40" s="252">
        <f>'Master Assumptions'!$B$97*'Master Assumptions'!G150</f>
        <v>1.5</v>
      </c>
      <c r="H40" s="252">
        <f>'Master Assumptions'!$B$97*'Master Assumptions'!H150</f>
        <v>1.5</v>
      </c>
      <c r="I40" s="252">
        <f>'Master Assumptions'!$B$97*'Master Assumptions'!I150</f>
        <v>1.5</v>
      </c>
      <c r="J40" s="252">
        <f>'Master Assumptions'!$B$97*'Master Assumptions'!J150</f>
        <v>1.5</v>
      </c>
      <c r="K40" s="252">
        <f>'Master Assumptions'!$B$97*'Master Assumptions'!K150</f>
        <v>0.75</v>
      </c>
      <c r="L40" s="252">
        <f>'Master Assumptions'!$B$97*'Master Assumptions'!L150</f>
        <v>0.75</v>
      </c>
      <c r="M40" s="252">
        <f>'Master Assumptions'!$B$97*'Master Assumptions'!M150</f>
        <v>0.75</v>
      </c>
      <c r="N40" s="252">
        <f>'Master Assumptions'!$B$97*'Master Assumptions'!N150</f>
        <v>0.75</v>
      </c>
    </row>
    <row r="41" spans="1:14">
      <c r="A41" s="1117" t="s">
        <v>165</v>
      </c>
      <c r="B41" s="270" t="str">
        <f>'Master Assumptions'!B151</f>
        <v>Avancergold</v>
      </c>
      <c r="C41" s="248">
        <f>'Master Assumptions'!$B$99*'Master Assumptions'!C151</f>
        <v>2</v>
      </c>
      <c r="D41" s="248">
        <f>'Master Assumptions'!$B$99*'Master Assumptions'!D151</f>
        <v>2</v>
      </c>
      <c r="E41" s="248">
        <f>'Master Assumptions'!$B$99*'Master Assumptions'!E151</f>
        <v>2</v>
      </c>
      <c r="F41" s="248">
        <f>'Master Assumptions'!$B$99*'Master Assumptions'!F151</f>
        <v>2</v>
      </c>
      <c r="G41" s="248">
        <f>'Master Assumptions'!$B$99*'Master Assumptions'!G151</f>
        <v>2</v>
      </c>
      <c r="H41" s="248">
        <f>'Master Assumptions'!$B$99*'Master Assumptions'!H151</f>
        <v>2</v>
      </c>
      <c r="I41" s="248">
        <f>'Master Assumptions'!$B$99*'Master Assumptions'!I151</f>
        <v>2</v>
      </c>
      <c r="J41" s="248">
        <f>'Master Assumptions'!$B$99*'Master Assumptions'!J151</f>
        <v>2</v>
      </c>
      <c r="K41" s="248">
        <f>'Master Assumptions'!$B$99*'Master Assumptions'!K151</f>
        <v>1</v>
      </c>
      <c r="L41" s="248">
        <f>'Master Assumptions'!$B$99*'Master Assumptions'!L151</f>
        <v>1</v>
      </c>
      <c r="M41" s="248">
        <f>'Master Assumptions'!$B$99*'Master Assumptions'!M151</f>
        <v>1</v>
      </c>
      <c r="N41" s="248">
        <f>'Master Assumptions'!$B$99*'Master Assumptions'!N151</f>
        <v>1</v>
      </c>
    </row>
    <row r="42" spans="1:14">
      <c r="A42" s="1116"/>
      <c r="B42" s="270" t="str">
        <f>'Master Assumptions'!B152</f>
        <v>Provex</v>
      </c>
      <c r="C42" s="242">
        <f>'Master Assumptions'!$B$100*'Master Assumptions'!C152</f>
        <v>0.5</v>
      </c>
      <c r="D42" s="242">
        <f>'Master Assumptions'!$B$100*'Master Assumptions'!D152</f>
        <v>0.5</v>
      </c>
      <c r="E42" s="242">
        <f>'Master Assumptions'!$B$100*'Master Assumptions'!E152</f>
        <v>0.5</v>
      </c>
      <c r="F42" s="242">
        <f>'Master Assumptions'!$B$100*'Master Assumptions'!F152</f>
        <v>0.5</v>
      </c>
      <c r="G42" s="242">
        <f>'Master Assumptions'!$B$100*'Master Assumptions'!G152</f>
        <v>0.5</v>
      </c>
      <c r="H42" s="242">
        <f>'Master Assumptions'!$B$100*'Master Assumptions'!H152</f>
        <v>0.5</v>
      </c>
      <c r="I42" s="242">
        <f>'Master Assumptions'!$B$100*'Master Assumptions'!I152</f>
        <v>0.5</v>
      </c>
      <c r="J42" s="242">
        <f>'Master Assumptions'!$B$100*'Master Assumptions'!J152</f>
        <v>0.5</v>
      </c>
      <c r="K42" s="242">
        <f>'Master Assumptions'!$B$100*'Master Assumptions'!K152</f>
        <v>0.25</v>
      </c>
      <c r="L42" s="242">
        <f>'Master Assumptions'!$B$100*'Master Assumptions'!L152</f>
        <v>0.25</v>
      </c>
      <c r="M42" s="242">
        <f>'Master Assumptions'!$B$100*'Master Assumptions'!M152</f>
        <v>0.25</v>
      </c>
      <c r="N42" s="242">
        <f>'Master Assumptions'!$B$100*'Master Assumptions'!N152</f>
        <v>0.25</v>
      </c>
    </row>
    <row r="43" spans="1:14">
      <c r="A43" s="1116"/>
      <c r="B43" s="270" t="str">
        <f>'Master Assumptions'!B153</f>
        <v>Quprofix</v>
      </c>
      <c r="C43" s="242">
        <f>'Master Assumptions'!$B$101*'Master Assumptions'!C153</f>
        <v>3</v>
      </c>
      <c r="D43" s="242">
        <f>'Master Assumptions'!$B$101*'Master Assumptions'!D153</f>
        <v>3</v>
      </c>
      <c r="E43" s="242">
        <f>'Master Assumptions'!$B$101*'Master Assumptions'!E153</f>
        <v>3</v>
      </c>
      <c r="F43" s="242">
        <f>'Master Assumptions'!$B$101*'Master Assumptions'!F153</f>
        <v>3</v>
      </c>
      <c r="G43" s="242">
        <f>'Master Assumptions'!$B$101*'Master Assumptions'!G153</f>
        <v>3</v>
      </c>
      <c r="H43" s="242">
        <f>'Master Assumptions'!$B$101*'Master Assumptions'!H153</f>
        <v>3</v>
      </c>
      <c r="I43" s="242">
        <f>'Master Assumptions'!$B$101*'Master Assumptions'!I153</f>
        <v>3</v>
      </c>
      <c r="J43" s="242">
        <f>'Master Assumptions'!$B$101*'Master Assumptions'!J153</f>
        <v>3</v>
      </c>
      <c r="K43" s="242">
        <f>'Master Assumptions'!$B$101*'Master Assumptions'!K153</f>
        <v>1.5</v>
      </c>
      <c r="L43" s="242">
        <f>'Master Assumptions'!$B$101*'Master Assumptions'!L153</f>
        <v>1.5</v>
      </c>
      <c r="M43" s="242">
        <f>'Master Assumptions'!$B$101*'Master Assumptions'!M153</f>
        <v>1.5</v>
      </c>
      <c r="N43" s="242">
        <f>'Master Assumptions'!$B$101*'Master Assumptions'!N153</f>
        <v>1.5</v>
      </c>
    </row>
    <row r="44" spans="1:14">
      <c r="A44" s="1116"/>
      <c r="B44" s="270" t="str">
        <f>'Master Assumptions'!B154</f>
        <v>Ranman</v>
      </c>
      <c r="C44" s="242">
        <f>'Master Assumptions'!$B$102*'Master Assumptions'!C154</f>
        <v>0.5</v>
      </c>
      <c r="D44" s="242">
        <f>'Master Assumptions'!$B$102*'Master Assumptions'!D154</f>
        <v>0.5</v>
      </c>
      <c r="E44" s="242">
        <f>'Master Assumptions'!$B$102*'Master Assumptions'!E154</f>
        <v>0.5</v>
      </c>
      <c r="F44" s="242">
        <f>'Master Assumptions'!$B$102*'Master Assumptions'!F154</f>
        <v>0.5</v>
      </c>
      <c r="G44" s="242">
        <f>'Master Assumptions'!$B$102*'Master Assumptions'!G154</f>
        <v>0.5</v>
      </c>
      <c r="H44" s="242">
        <f>'Master Assumptions'!$B$102*'Master Assumptions'!H154</f>
        <v>0.5</v>
      </c>
      <c r="I44" s="242">
        <f>'Master Assumptions'!$B$102*'Master Assumptions'!I154</f>
        <v>0.5</v>
      </c>
      <c r="J44" s="242">
        <f>'Master Assumptions'!$B$102*'Master Assumptions'!J154</f>
        <v>0.5</v>
      </c>
      <c r="K44" s="242">
        <f>'Master Assumptions'!$B$102*'Master Assumptions'!K154</f>
        <v>0.25</v>
      </c>
      <c r="L44" s="242">
        <f>'Master Assumptions'!$B$102*'Master Assumptions'!L154</f>
        <v>0.25</v>
      </c>
      <c r="M44" s="242">
        <f>'Master Assumptions'!$B$102*'Master Assumptions'!M154</f>
        <v>0.25</v>
      </c>
      <c r="N44" s="242">
        <f>'Master Assumptions'!$B$102*'Master Assumptions'!N154</f>
        <v>0.25</v>
      </c>
    </row>
    <row r="45" spans="1:14" ht="16.5" thickBot="1">
      <c r="A45" s="1118"/>
      <c r="B45" s="270" t="str">
        <f>'Master Assumptions'!B155</f>
        <v>Copper Oxichloride</v>
      </c>
      <c r="C45" s="252">
        <f>'Master Assumptions'!$B$103*'Master Assumptions'!C155</f>
        <v>2</v>
      </c>
      <c r="D45" s="252">
        <f>'Master Assumptions'!$B$103*'Master Assumptions'!D155</f>
        <v>2</v>
      </c>
      <c r="E45" s="252">
        <f>'Master Assumptions'!$B$103*'Master Assumptions'!E155</f>
        <v>2</v>
      </c>
      <c r="F45" s="252">
        <f>'Master Assumptions'!$B$103*'Master Assumptions'!F155</f>
        <v>2</v>
      </c>
      <c r="G45" s="252">
        <f>'Master Assumptions'!$B$103*'Master Assumptions'!G155</f>
        <v>2</v>
      </c>
      <c r="H45" s="252">
        <f>'Master Assumptions'!$B$103*'Master Assumptions'!H155</f>
        <v>2</v>
      </c>
      <c r="I45" s="252">
        <f>'Master Assumptions'!$B$103*'Master Assumptions'!I155</f>
        <v>2</v>
      </c>
      <c r="J45" s="252">
        <f>'Master Assumptions'!$B$103*'Master Assumptions'!J155</f>
        <v>2</v>
      </c>
      <c r="K45" s="252">
        <f>'Master Assumptions'!$B$103*'Master Assumptions'!K155</f>
        <v>1</v>
      </c>
      <c r="L45" s="252">
        <f>'Master Assumptions'!$B$103*'Master Assumptions'!L155</f>
        <v>1</v>
      </c>
      <c r="M45" s="252">
        <f>'Master Assumptions'!$B$103*'Master Assumptions'!M155</f>
        <v>1</v>
      </c>
      <c r="N45" s="252">
        <f>'Master Assumptions'!$B$103*'Master Assumptions'!N155</f>
        <v>1</v>
      </c>
    </row>
    <row r="46" spans="1:14">
      <c r="A46" s="1117" t="s">
        <v>249</v>
      </c>
      <c r="B46" s="270" t="str">
        <f>'Master Assumptions'!B156</f>
        <v>Macrena</v>
      </c>
      <c r="C46" s="248">
        <f>'Master Assumptions'!$B$105*'Master Assumptions'!C156</f>
        <v>5</v>
      </c>
      <c r="D46" s="248">
        <f>'Master Assumptions'!$B$105*'Master Assumptions'!D156</f>
        <v>5</v>
      </c>
      <c r="E46" s="248">
        <f>'Master Assumptions'!$B$105*'Master Assumptions'!E156</f>
        <v>5</v>
      </c>
      <c r="F46" s="248">
        <f>'Master Assumptions'!$B$105*'Master Assumptions'!F156</f>
        <v>5</v>
      </c>
      <c r="G46" s="248">
        <f>'Master Assumptions'!$B$105*'Master Assumptions'!G156</f>
        <v>5</v>
      </c>
      <c r="H46" s="248">
        <f>'Master Assumptions'!$B$105*'Master Assumptions'!H156</f>
        <v>5</v>
      </c>
      <c r="I46" s="248">
        <f>'Master Assumptions'!$B$105*'Master Assumptions'!I156</f>
        <v>5</v>
      </c>
      <c r="J46" s="248">
        <f>'Master Assumptions'!$B$105*'Master Assumptions'!J156</f>
        <v>5</v>
      </c>
      <c r="K46" s="248">
        <f>'Master Assumptions'!$B$105*'Master Assumptions'!K156</f>
        <v>2.5</v>
      </c>
      <c r="L46" s="248">
        <f>'Master Assumptions'!$B$105*'Master Assumptions'!L156</f>
        <v>2.5</v>
      </c>
      <c r="M46" s="248">
        <f>'Master Assumptions'!$B$105*'Master Assumptions'!M156</f>
        <v>2.5</v>
      </c>
      <c r="N46" s="248">
        <f>'Master Assumptions'!$B$105*'Master Assumptions'!N156</f>
        <v>2.5</v>
      </c>
    </row>
    <row r="47" spans="1:14">
      <c r="A47" s="1116"/>
      <c r="B47" s="270" t="str">
        <f>'Master Assumptions'!B157</f>
        <v>Double power</v>
      </c>
      <c r="C47" s="242">
        <f>'Master Assumptions'!$B$106*'Master Assumptions'!C157</f>
        <v>5</v>
      </c>
      <c r="D47" s="242">
        <f>'Master Assumptions'!$B$106*'Master Assumptions'!D157</f>
        <v>5</v>
      </c>
      <c r="E47" s="242">
        <f>'Master Assumptions'!$B$106*'Master Assumptions'!E157</f>
        <v>5</v>
      </c>
      <c r="F47" s="242">
        <f>'Master Assumptions'!$B$106*'Master Assumptions'!F157</f>
        <v>5</v>
      </c>
      <c r="G47" s="242">
        <f>'Master Assumptions'!$B$106*'Master Assumptions'!G157</f>
        <v>5</v>
      </c>
      <c r="H47" s="242">
        <f>'Master Assumptions'!$B$106*'Master Assumptions'!H157</f>
        <v>5</v>
      </c>
      <c r="I47" s="242">
        <f>'Master Assumptions'!$B$106*'Master Assumptions'!I157</f>
        <v>5</v>
      </c>
      <c r="J47" s="242">
        <f>'Master Assumptions'!$B$106*'Master Assumptions'!J157</f>
        <v>5</v>
      </c>
      <c r="K47" s="242">
        <f>'Master Assumptions'!$B$106*'Master Assumptions'!K157</f>
        <v>2.5</v>
      </c>
      <c r="L47" s="242">
        <f>'Master Assumptions'!$B$106*'Master Assumptions'!L157</f>
        <v>2.5</v>
      </c>
      <c r="M47" s="242">
        <f>'Master Assumptions'!$B$106*'Master Assumptions'!M157</f>
        <v>2.5</v>
      </c>
      <c r="N47" s="242">
        <f>'Master Assumptions'!$B$106*'Master Assumptions'!N157</f>
        <v>2.5</v>
      </c>
    </row>
    <row r="48" spans="1:14">
      <c r="A48" s="1116"/>
      <c r="B48" s="270" t="str">
        <f>'Master Assumptions'!B158</f>
        <v>Reach flow</v>
      </c>
      <c r="C48" s="242">
        <f>'Master Assumptions'!$B$107*'Master Assumptions'!C158</f>
        <v>3</v>
      </c>
      <c r="D48" s="242">
        <f>'Master Assumptions'!$B$107*'Master Assumptions'!D158</f>
        <v>3</v>
      </c>
      <c r="E48" s="242">
        <f>'Master Assumptions'!$B$107*'Master Assumptions'!E158</f>
        <v>3</v>
      </c>
      <c r="F48" s="242">
        <f>'Master Assumptions'!$B$107*'Master Assumptions'!F158</f>
        <v>3</v>
      </c>
      <c r="G48" s="242">
        <f>'Master Assumptions'!$B$107*'Master Assumptions'!G158</f>
        <v>3</v>
      </c>
      <c r="H48" s="242">
        <f>'Master Assumptions'!$B$107*'Master Assumptions'!H158</f>
        <v>3</v>
      </c>
      <c r="I48" s="242">
        <f>'Master Assumptions'!$B$107*'Master Assumptions'!I158</f>
        <v>3</v>
      </c>
      <c r="J48" s="242">
        <f>'Master Assumptions'!$B$107*'Master Assumptions'!J158</f>
        <v>3</v>
      </c>
      <c r="K48" s="242">
        <f>'Master Assumptions'!$B$107*'Master Assumptions'!K158</f>
        <v>1.5</v>
      </c>
      <c r="L48" s="242">
        <f>'Master Assumptions'!$B$107*'Master Assumptions'!L158</f>
        <v>1.5</v>
      </c>
      <c r="M48" s="242">
        <f>'Master Assumptions'!$B$107*'Master Assumptions'!M158</f>
        <v>1.5</v>
      </c>
      <c r="N48" s="242">
        <f>'Master Assumptions'!$B$107*'Master Assumptions'!N158</f>
        <v>1.5</v>
      </c>
    </row>
    <row r="49" spans="1:14" ht="16.5" thickBot="1">
      <c r="A49" s="1118"/>
      <c r="B49" s="284" t="str">
        <f>'Master Assumptions'!B159</f>
        <v>King Power</v>
      </c>
      <c r="C49" s="252">
        <f>'Master Assumptions'!$B$108*'Master Assumptions'!C159</f>
        <v>3</v>
      </c>
      <c r="D49" s="252">
        <f>'Master Assumptions'!$B$108*'Master Assumptions'!D159</f>
        <v>3</v>
      </c>
      <c r="E49" s="252">
        <f>'Master Assumptions'!$B$108*'Master Assumptions'!E159</f>
        <v>3</v>
      </c>
      <c r="F49" s="252">
        <f>'Master Assumptions'!$B$108*'Master Assumptions'!F159</f>
        <v>3</v>
      </c>
      <c r="G49" s="252">
        <f>'Master Assumptions'!$B$108*'Master Assumptions'!G159</f>
        <v>3</v>
      </c>
      <c r="H49" s="252">
        <f>'Master Assumptions'!$B$108*'Master Assumptions'!H159</f>
        <v>3</v>
      </c>
      <c r="I49" s="252">
        <f>'Master Assumptions'!$B$108*'Master Assumptions'!I159</f>
        <v>3</v>
      </c>
      <c r="J49" s="252">
        <f>'Master Assumptions'!$B$108*'Master Assumptions'!J159</f>
        <v>3</v>
      </c>
      <c r="K49" s="252">
        <f>'Master Assumptions'!$B$108*'Master Assumptions'!K159</f>
        <v>1.5</v>
      </c>
      <c r="L49" s="252">
        <f>'Master Assumptions'!$B$108*'Master Assumptions'!L159</f>
        <v>1.5</v>
      </c>
      <c r="M49" s="252">
        <f>'Master Assumptions'!$B$108*'Master Assumptions'!M159</f>
        <v>1.5</v>
      </c>
      <c r="N49" s="252">
        <f>'Master Assumptions'!$B$108*'Master Assumptions'!N159</f>
        <v>1.5</v>
      </c>
    </row>
    <row r="52" spans="1:14" ht="16.5" thickBot="1">
      <c r="A52" s="1108" t="s">
        <v>248</v>
      </c>
      <c r="B52" s="1122" t="s">
        <v>119</v>
      </c>
      <c r="C52" s="1112" t="s">
        <v>242</v>
      </c>
      <c r="D52" s="1113"/>
      <c r="E52" s="1113"/>
      <c r="F52" s="1113"/>
      <c r="G52" s="1113"/>
      <c r="H52" s="1113"/>
      <c r="I52" s="1113"/>
      <c r="J52" s="1113"/>
      <c r="K52" s="1113"/>
      <c r="L52" s="1113"/>
      <c r="M52" s="1113"/>
      <c r="N52" s="1114"/>
    </row>
    <row r="53" spans="1:14" ht="16.5" thickBot="1">
      <c r="A53" s="1109"/>
      <c r="B53" s="1123"/>
      <c r="C53" s="261">
        <v>44652</v>
      </c>
      <c r="D53" s="255">
        <v>44682</v>
      </c>
      <c r="E53" s="256">
        <v>44713</v>
      </c>
      <c r="F53" s="255">
        <v>44743</v>
      </c>
      <c r="G53" s="256">
        <v>44774</v>
      </c>
      <c r="H53" s="255">
        <v>44805</v>
      </c>
      <c r="I53" s="256">
        <v>44835</v>
      </c>
      <c r="J53" s="255">
        <v>44866</v>
      </c>
      <c r="K53" s="256">
        <v>44896</v>
      </c>
      <c r="L53" s="255">
        <v>44927</v>
      </c>
      <c r="M53" s="256">
        <v>44958</v>
      </c>
      <c r="N53" s="257">
        <v>44986</v>
      </c>
    </row>
    <row r="54" spans="1:14">
      <c r="A54" s="1115" t="s">
        <v>127</v>
      </c>
      <c r="B54" s="270" t="str">
        <f>'Master Assumptions'!B167</f>
        <v>Basmati</v>
      </c>
      <c r="C54" s="248">
        <f>'Master Assumptions'!O167</f>
        <v>74</v>
      </c>
      <c r="D54" s="248">
        <f>'Master Assumptions'!O167</f>
        <v>74</v>
      </c>
      <c r="E54" s="248">
        <f>'Master Assumptions'!O167</f>
        <v>74</v>
      </c>
      <c r="F54" s="248">
        <f>'Master Assumptions'!P167</f>
        <v>74</v>
      </c>
      <c r="G54" s="248">
        <f>'Master Assumptions'!P167</f>
        <v>74</v>
      </c>
      <c r="H54" s="248">
        <f>'Master Assumptions'!P167</f>
        <v>74</v>
      </c>
      <c r="I54" s="248">
        <f>'Master Assumptions'!Q167</f>
        <v>74</v>
      </c>
      <c r="J54" s="248">
        <f>'Master Assumptions'!Q167</f>
        <v>74</v>
      </c>
      <c r="K54" s="248">
        <f>'Master Assumptions'!Q167</f>
        <v>74</v>
      </c>
      <c r="L54" s="248">
        <f>'Master Assumptions'!R167</f>
        <v>74</v>
      </c>
      <c r="M54" s="248">
        <f>'Master Assumptions'!R167</f>
        <v>74</v>
      </c>
      <c r="N54" s="248">
        <f>'Master Assumptions'!R167</f>
        <v>74</v>
      </c>
    </row>
    <row r="55" spans="1:14">
      <c r="A55" s="1116"/>
      <c r="B55" s="270" t="str">
        <f>'Master Assumptions'!B168</f>
        <v>Jordaar</v>
      </c>
      <c r="C55" s="242">
        <f>'Master Assumptions'!O168</f>
        <v>79</v>
      </c>
      <c r="D55" s="242">
        <f>'Master Assumptions'!O168</f>
        <v>79</v>
      </c>
      <c r="E55" s="242">
        <f>'Master Assumptions'!O168</f>
        <v>79</v>
      </c>
      <c r="F55" s="242">
        <f>'Master Assumptions'!P168</f>
        <v>79</v>
      </c>
      <c r="G55" s="242">
        <f>'Master Assumptions'!P168</f>
        <v>79</v>
      </c>
      <c r="H55" s="242">
        <f>'Master Assumptions'!P168</f>
        <v>79</v>
      </c>
      <c r="I55" s="242">
        <f>'Master Assumptions'!Q168</f>
        <v>79</v>
      </c>
      <c r="J55" s="242">
        <f>'Master Assumptions'!Q168</f>
        <v>79</v>
      </c>
      <c r="K55" s="242">
        <f>'Master Assumptions'!Q168</f>
        <v>79</v>
      </c>
      <c r="L55" s="242">
        <f>'Master Assumptions'!R168</f>
        <v>79</v>
      </c>
      <c r="M55" s="242">
        <f>'Master Assumptions'!R168</f>
        <v>79</v>
      </c>
      <c r="N55" s="242">
        <f>'Master Assumptions'!R168</f>
        <v>79</v>
      </c>
    </row>
    <row r="56" spans="1:14">
      <c r="A56" s="1116"/>
      <c r="B56" s="270" t="str">
        <f>'Master Assumptions'!B169</f>
        <v>Early sona</v>
      </c>
      <c r="C56" s="242">
        <f>'Master Assumptions'!O169</f>
        <v>63</v>
      </c>
      <c r="D56" s="242">
        <f>'Master Assumptions'!O169</f>
        <v>63</v>
      </c>
      <c r="E56" s="242">
        <f>'Master Assumptions'!O169</f>
        <v>63</v>
      </c>
      <c r="F56" s="242">
        <f>'Master Assumptions'!P169</f>
        <v>63</v>
      </c>
      <c r="G56" s="242">
        <f>'Master Assumptions'!P169</f>
        <v>63</v>
      </c>
      <c r="H56" s="242">
        <f>'Master Assumptions'!P169</f>
        <v>63</v>
      </c>
      <c r="I56" s="242">
        <f>'Master Assumptions'!Q169</f>
        <v>63</v>
      </c>
      <c r="J56" s="242">
        <f>'Master Assumptions'!Q169</f>
        <v>63</v>
      </c>
      <c r="K56" s="242">
        <f>'Master Assumptions'!Q169</f>
        <v>63</v>
      </c>
      <c r="L56" s="242">
        <f>'Master Assumptions'!R169</f>
        <v>63</v>
      </c>
      <c r="M56" s="242">
        <f>'Master Assumptions'!R169</f>
        <v>63</v>
      </c>
      <c r="N56" s="242">
        <f>'Master Assumptions'!R169</f>
        <v>63</v>
      </c>
    </row>
    <row r="57" spans="1:14">
      <c r="A57" s="1116"/>
      <c r="B57" s="635">
        <f>'Master Assumptions'!B170</f>
        <v>1010</v>
      </c>
      <c r="C57" s="242">
        <f>'Master Assumptions'!O170</f>
        <v>32</v>
      </c>
      <c r="D57" s="242">
        <f>'Master Assumptions'!O170</f>
        <v>32</v>
      </c>
      <c r="E57" s="242">
        <f>'Master Assumptions'!O170</f>
        <v>32</v>
      </c>
      <c r="F57" s="242">
        <f>'Master Assumptions'!P170</f>
        <v>32</v>
      </c>
      <c r="G57" s="242">
        <f>'Master Assumptions'!P170</f>
        <v>32</v>
      </c>
      <c r="H57" s="242">
        <f>'Master Assumptions'!P170</f>
        <v>32</v>
      </c>
      <c r="I57" s="242">
        <f>'Master Assumptions'!Q170</f>
        <v>32</v>
      </c>
      <c r="J57" s="242">
        <f>'Master Assumptions'!Q170</f>
        <v>32</v>
      </c>
      <c r="K57" s="242">
        <f>'Master Assumptions'!Q170</f>
        <v>32</v>
      </c>
      <c r="L57" s="242">
        <f>'Master Assumptions'!R170</f>
        <v>32</v>
      </c>
      <c r="M57" s="242">
        <f>'Master Assumptions'!R170</f>
        <v>32</v>
      </c>
      <c r="N57" s="242">
        <f>'Master Assumptions'!R170</f>
        <v>32</v>
      </c>
    </row>
    <row r="58" spans="1:14">
      <c r="A58" s="1116"/>
      <c r="B58" s="270" t="str">
        <f>'Master Assumptions'!B171</f>
        <v>Bitter gourd</v>
      </c>
      <c r="C58" s="242">
        <f>'Master Assumptions'!O171</f>
        <v>96</v>
      </c>
      <c r="D58" s="242">
        <f>'Master Assumptions'!O171</f>
        <v>96</v>
      </c>
      <c r="E58" s="242">
        <f>'Master Assumptions'!O171</f>
        <v>96</v>
      </c>
      <c r="F58" s="242">
        <f>'Master Assumptions'!P171</f>
        <v>96</v>
      </c>
      <c r="G58" s="242">
        <f>'Master Assumptions'!P171</f>
        <v>96</v>
      </c>
      <c r="H58" s="242">
        <f>'Master Assumptions'!P171</f>
        <v>96</v>
      </c>
      <c r="I58" s="242">
        <f>'Master Assumptions'!Q171</f>
        <v>96</v>
      </c>
      <c r="J58" s="242">
        <f>'Master Assumptions'!Q171</f>
        <v>96</v>
      </c>
      <c r="K58" s="242">
        <f>'Master Assumptions'!Q171</f>
        <v>96</v>
      </c>
      <c r="L58" s="242">
        <f>'Master Assumptions'!R171</f>
        <v>96</v>
      </c>
      <c r="M58" s="242">
        <f>'Master Assumptions'!R171</f>
        <v>96</v>
      </c>
      <c r="N58" s="242">
        <f>'Master Assumptions'!R171</f>
        <v>96</v>
      </c>
    </row>
    <row r="59" spans="1:14">
      <c r="A59" s="1116"/>
      <c r="B59" s="270" t="str">
        <f>'Master Assumptions'!B172</f>
        <v>Sponge guord</v>
      </c>
      <c r="C59" s="242">
        <f>'Master Assumptions'!O172</f>
        <v>42</v>
      </c>
      <c r="D59" s="242">
        <f>'Master Assumptions'!O172</f>
        <v>42</v>
      </c>
      <c r="E59" s="242">
        <f>'Master Assumptions'!O172</f>
        <v>42</v>
      </c>
      <c r="F59" s="242">
        <f>'Master Assumptions'!P172</f>
        <v>42</v>
      </c>
      <c r="G59" s="242">
        <f>'Master Assumptions'!P172</f>
        <v>42</v>
      </c>
      <c r="H59" s="242">
        <f>'Master Assumptions'!P172</f>
        <v>42</v>
      </c>
      <c r="I59" s="242">
        <f>'Master Assumptions'!Q172</f>
        <v>42</v>
      </c>
      <c r="J59" s="242">
        <f>'Master Assumptions'!Q172</f>
        <v>42</v>
      </c>
      <c r="K59" s="242">
        <f>'Master Assumptions'!Q172</f>
        <v>42</v>
      </c>
      <c r="L59" s="242">
        <f>'Master Assumptions'!R172</f>
        <v>42</v>
      </c>
      <c r="M59" s="242">
        <f>'Master Assumptions'!R172</f>
        <v>42</v>
      </c>
      <c r="N59" s="242">
        <f>'Master Assumptions'!R172</f>
        <v>42</v>
      </c>
    </row>
    <row r="60" spans="1:14">
      <c r="A60" s="1116"/>
      <c r="B60" s="270" t="str">
        <f>'Master Assumptions'!B173</f>
        <v>Cow pea</v>
      </c>
      <c r="C60" s="242">
        <f>'Master Assumptions'!O173</f>
        <v>90</v>
      </c>
      <c r="D60" s="242">
        <f>'Master Assumptions'!O173</f>
        <v>90</v>
      </c>
      <c r="E60" s="242">
        <f>'Master Assumptions'!O173</f>
        <v>90</v>
      </c>
      <c r="F60" s="242">
        <f>'Master Assumptions'!P173</f>
        <v>90</v>
      </c>
      <c r="G60" s="242">
        <f>'Master Assumptions'!P173</f>
        <v>90</v>
      </c>
      <c r="H60" s="242">
        <f>'Master Assumptions'!P173</f>
        <v>90</v>
      </c>
      <c r="I60" s="242">
        <f>'Master Assumptions'!Q173</f>
        <v>90</v>
      </c>
      <c r="J60" s="242">
        <f>'Master Assumptions'!Q173</f>
        <v>90</v>
      </c>
      <c r="K60" s="242">
        <f>'Master Assumptions'!Q173</f>
        <v>90</v>
      </c>
      <c r="L60" s="242">
        <f>'Master Assumptions'!R173</f>
        <v>90</v>
      </c>
      <c r="M60" s="242">
        <f>'Master Assumptions'!R173</f>
        <v>90</v>
      </c>
      <c r="N60" s="242">
        <f>'Master Assumptions'!R173</f>
        <v>90</v>
      </c>
    </row>
    <row r="61" spans="1:14">
      <c r="A61" s="1116"/>
      <c r="B61" s="270" t="str">
        <f>'Master Assumptions'!B174</f>
        <v>Lady Finger</v>
      </c>
      <c r="C61" s="242">
        <f>'Master Assumptions'!O174</f>
        <v>420</v>
      </c>
      <c r="D61" s="242">
        <f>'Master Assumptions'!O174</f>
        <v>420</v>
      </c>
      <c r="E61" s="242">
        <f>'Master Assumptions'!O174</f>
        <v>420</v>
      </c>
      <c r="F61" s="242">
        <f>'Master Assumptions'!P174</f>
        <v>420</v>
      </c>
      <c r="G61" s="242">
        <f>'Master Assumptions'!P174</f>
        <v>420</v>
      </c>
      <c r="H61" s="242">
        <f>'Master Assumptions'!P174</f>
        <v>420</v>
      </c>
      <c r="I61" s="242">
        <f>'Master Assumptions'!Q174</f>
        <v>420</v>
      </c>
      <c r="J61" s="242">
        <f>'Master Assumptions'!Q174</f>
        <v>420</v>
      </c>
      <c r="K61" s="242">
        <f>'Master Assumptions'!Q174</f>
        <v>420</v>
      </c>
      <c r="L61" s="242">
        <f>'Master Assumptions'!R174</f>
        <v>420</v>
      </c>
      <c r="M61" s="242">
        <f>'Master Assumptions'!R174</f>
        <v>420</v>
      </c>
      <c r="N61" s="242">
        <f>'Master Assumptions'!R174</f>
        <v>420</v>
      </c>
    </row>
    <row r="62" spans="1:14">
      <c r="A62" s="1116"/>
      <c r="B62" s="270" t="str">
        <f>'Master Assumptions'!B175</f>
        <v>Brinjal</v>
      </c>
      <c r="C62" s="242">
        <f>'Master Assumptions'!O175</f>
        <v>105</v>
      </c>
      <c r="D62" s="242">
        <f>'Master Assumptions'!O175</f>
        <v>105</v>
      </c>
      <c r="E62" s="242">
        <f>'Master Assumptions'!O175</f>
        <v>105</v>
      </c>
      <c r="F62" s="242">
        <f>'Master Assumptions'!P175</f>
        <v>105</v>
      </c>
      <c r="G62" s="242">
        <f>'Master Assumptions'!P175</f>
        <v>105</v>
      </c>
      <c r="H62" s="242">
        <f>'Master Assumptions'!P175</f>
        <v>105</v>
      </c>
      <c r="I62" s="242">
        <f>'Master Assumptions'!Q175</f>
        <v>105</v>
      </c>
      <c r="J62" s="242">
        <f>'Master Assumptions'!Q175</f>
        <v>105</v>
      </c>
      <c r="K62" s="242">
        <f>'Master Assumptions'!Q175</f>
        <v>105</v>
      </c>
      <c r="L62" s="242">
        <f>'Master Assumptions'!R175</f>
        <v>105</v>
      </c>
      <c r="M62" s="242">
        <f>'Master Assumptions'!R175</f>
        <v>105</v>
      </c>
      <c r="N62" s="242">
        <f>'Master Assumptions'!R175</f>
        <v>105</v>
      </c>
    </row>
    <row r="63" spans="1:14">
      <c r="A63" s="1116"/>
      <c r="B63" s="270" t="str">
        <f>'Master Assumptions'!B176</f>
        <v>Cauliflower</v>
      </c>
      <c r="C63" s="242">
        <f>'Master Assumptions'!O176</f>
        <v>38</v>
      </c>
      <c r="D63" s="242">
        <f>'Master Assumptions'!O176</f>
        <v>38</v>
      </c>
      <c r="E63" s="242">
        <f>'Master Assumptions'!O176</f>
        <v>38</v>
      </c>
      <c r="F63" s="242">
        <f>'Master Assumptions'!P176</f>
        <v>38</v>
      </c>
      <c r="G63" s="242">
        <f>'Master Assumptions'!P176</f>
        <v>38</v>
      </c>
      <c r="H63" s="242">
        <f>'Master Assumptions'!P176</f>
        <v>38</v>
      </c>
      <c r="I63" s="242">
        <f>'Master Assumptions'!Q176</f>
        <v>38</v>
      </c>
      <c r="J63" s="242">
        <f>'Master Assumptions'!Q176</f>
        <v>38</v>
      </c>
      <c r="K63" s="242">
        <f>'Master Assumptions'!Q176</f>
        <v>38</v>
      </c>
      <c r="L63" s="242">
        <f>'Master Assumptions'!R176</f>
        <v>38</v>
      </c>
      <c r="M63" s="242">
        <f>'Master Assumptions'!R176</f>
        <v>38</v>
      </c>
      <c r="N63" s="242">
        <f>'Master Assumptions'!R176</f>
        <v>38</v>
      </c>
    </row>
    <row r="64" spans="1:14">
      <c r="A64" s="1116"/>
      <c r="B64" s="270" t="str">
        <f>'Master Assumptions'!B177</f>
        <v>Green Pea</v>
      </c>
      <c r="C64" s="242">
        <f>'Master Assumptions'!O177</f>
        <v>38</v>
      </c>
      <c r="D64" s="242">
        <f>'Master Assumptions'!O177</f>
        <v>38</v>
      </c>
      <c r="E64" s="242">
        <f>'Master Assumptions'!O177</f>
        <v>38</v>
      </c>
      <c r="F64" s="242">
        <f>'Master Assumptions'!P177</f>
        <v>38</v>
      </c>
      <c r="G64" s="242">
        <f>'Master Assumptions'!P177</f>
        <v>38</v>
      </c>
      <c r="H64" s="242">
        <f>'Master Assumptions'!P177</f>
        <v>38</v>
      </c>
      <c r="I64" s="242">
        <f>'Master Assumptions'!Q177</f>
        <v>38</v>
      </c>
      <c r="J64" s="242">
        <f>'Master Assumptions'!Q177</f>
        <v>38</v>
      </c>
      <c r="K64" s="242">
        <f>'Master Assumptions'!Q177</f>
        <v>38</v>
      </c>
      <c r="L64" s="242">
        <f>'Master Assumptions'!R177</f>
        <v>38</v>
      </c>
      <c r="M64" s="242">
        <f>'Master Assumptions'!R177</f>
        <v>38</v>
      </c>
      <c r="N64" s="242">
        <f>'Master Assumptions'!R177</f>
        <v>38</v>
      </c>
    </row>
    <row r="65" spans="1:14">
      <c r="A65" s="1116"/>
      <c r="B65" s="270" t="str">
        <f>'Master Assumptions'!B178</f>
        <v>Water Melon</v>
      </c>
      <c r="C65" s="242">
        <f>'Master Assumptions'!O178</f>
        <v>68</v>
      </c>
      <c r="D65" s="242">
        <f>'Master Assumptions'!O178</f>
        <v>68</v>
      </c>
      <c r="E65" s="242">
        <f>'Master Assumptions'!O178</f>
        <v>68</v>
      </c>
      <c r="F65" s="242">
        <f>'Master Assumptions'!P178</f>
        <v>68</v>
      </c>
      <c r="G65" s="242">
        <f>'Master Assumptions'!P178</f>
        <v>68</v>
      </c>
      <c r="H65" s="242">
        <f>'Master Assumptions'!P178</f>
        <v>68</v>
      </c>
      <c r="I65" s="242">
        <f>'Master Assumptions'!Q178</f>
        <v>68</v>
      </c>
      <c r="J65" s="242">
        <f>'Master Assumptions'!Q178</f>
        <v>68</v>
      </c>
      <c r="K65" s="242">
        <f>'Master Assumptions'!Q178</f>
        <v>68</v>
      </c>
      <c r="L65" s="242">
        <f>'Master Assumptions'!R178</f>
        <v>68</v>
      </c>
      <c r="M65" s="242">
        <f>'Master Assumptions'!R178</f>
        <v>68</v>
      </c>
      <c r="N65" s="242">
        <f>'Master Assumptions'!R178</f>
        <v>68</v>
      </c>
    </row>
    <row r="66" spans="1:14">
      <c r="A66" s="1116"/>
      <c r="B66" s="270" t="str">
        <f>'Master Assumptions'!B179</f>
        <v>Muskmelon</v>
      </c>
      <c r="C66" s="242">
        <f>'Master Assumptions'!O179</f>
        <v>273</v>
      </c>
      <c r="D66" s="242">
        <f>'Master Assumptions'!O179</f>
        <v>273</v>
      </c>
      <c r="E66" s="242">
        <f>'Master Assumptions'!O179</f>
        <v>273</v>
      </c>
      <c r="F66" s="242">
        <f>'Master Assumptions'!P179</f>
        <v>273</v>
      </c>
      <c r="G66" s="242">
        <f>'Master Assumptions'!P179</f>
        <v>273</v>
      </c>
      <c r="H66" s="242">
        <f>'Master Assumptions'!P179</f>
        <v>273</v>
      </c>
      <c r="I66" s="242">
        <f>'Master Assumptions'!Q179</f>
        <v>273</v>
      </c>
      <c r="J66" s="242">
        <f>'Master Assumptions'!Q179</f>
        <v>273</v>
      </c>
      <c r="K66" s="242">
        <f>'Master Assumptions'!Q179</f>
        <v>273</v>
      </c>
      <c r="L66" s="242">
        <f>'Master Assumptions'!R179</f>
        <v>273</v>
      </c>
      <c r="M66" s="242">
        <f>'Master Assumptions'!R179</f>
        <v>273</v>
      </c>
      <c r="N66" s="242">
        <f>'Master Assumptions'!R179</f>
        <v>273</v>
      </c>
    </row>
    <row r="67" spans="1:14">
      <c r="A67" s="1116"/>
      <c r="B67" s="270" t="str">
        <f>'Master Assumptions'!B180</f>
        <v>Bitter gourd</v>
      </c>
      <c r="C67" s="242">
        <f>'Master Assumptions'!O180</f>
        <v>158</v>
      </c>
      <c r="D67" s="242">
        <f>'Master Assumptions'!O180</f>
        <v>158</v>
      </c>
      <c r="E67" s="242">
        <f>'Master Assumptions'!O180</f>
        <v>158</v>
      </c>
      <c r="F67" s="242">
        <f>'Master Assumptions'!P180</f>
        <v>158</v>
      </c>
      <c r="G67" s="242">
        <f>'Master Assumptions'!P180</f>
        <v>158</v>
      </c>
      <c r="H67" s="242">
        <f>'Master Assumptions'!P180</f>
        <v>158</v>
      </c>
      <c r="I67" s="242">
        <f>'Master Assumptions'!Q180</f>
        <v>158</v>
      </c>
      <c r="J67" s="242">
        <f>'Master Assumptions'!Q180</f>
        <v>158</v>
      </c>
      <c r="K67" s="242">
        <f>'Master Assumptions'!Q180</f>
        <v>158</v>
      </c>
      <c r="L67" s="242">
        <f>'Master Assumptions'!R180</f>
        <v>158</v>
      </c>
      <c r="M67" s="242">
        <f>'Master Assumptions'!R180</f>
        <v>158</v>
      </c>
      <c r="N67" s="242">
        <f>'Master Assumptions'!R180</f>
        <v>158</v>
      </c>
    </row>
    <row r="68" spans="1:14">
      <c r="A68" s="1116"/>
      <c r="B68" s="270" t="str">
        <f>'Master Assumptions'!B181</f>
        <v>Wheat - 1544</v>
      </c>
      <c r="C68" s="242">
        <f>'Master Assumptions'!O181</f>
        <v>252</v>
      </c>
      <c r="D68" s="242">
        <f>'Master Assumptions'!O181</f>
        <v>252</v>
      </c>
      <c r="E68" s="242">
        <f>'Master Assumptions'!O181</f>
        <v>252</v>
      </c>
      <c r="F68" s="242">
        <f>'Master Assumptions'!P181</f>
        <v>252</v>
      </c>
      <c r="G68" s="242">
        <f>'Master Assumptions'!P181</f>
        <v>252</v>
      </c>
      <c r="H68" s="242">
        <f>'Master Assumptions'!P181</f>
        <v>252</v>
      </c>
      <c r="I68" s="242">
        <f>'Master Assumptions'!Q181</f>
        <v>252</v>
      </c>
      <c r="J68" s="242">
        <f>'Master Assumptions'!Q181</f>
        <v>252</v>
      </c>
      <c r="K68" s="242">
        <f>'Master Assumptions'!Q181</f>
        <v>252</v>
      </c>
      <c r="L68" s="242">
        <f>'Master Assumptions'!R181</f>
        <v>252</v>
      </c>
      <c r="M68" s="242">
        <f>'Master Assumptions'!R181</f>
        <v>252</v>
      </c>
      <c r="N68" s="242">
        <f>'Master Assumptions'!R181</f>
        <v>252</v>
      </c>
    </row>
    <row r="69" spans="1:14">
      <c r="A69" s="1116"/>
      <c r="B69" s="270" t="str">
        <f>'Master Assumptions'!B182</f>
        <v>Wheat- 273</v>
      </c>
      <c r="C69" s="242">
        <f>'Master Assumptions'!O182</f>
        <v>242</v>
      </c>
      <c r="D69" s="242">
        <f>'Master Assumptions'!O182</f>
        <v>242</v>
      </c>
      <c r="E69" s="242">
        <f>'Master Assumptions'!O182</f>
        <v>242</v>
      </c>
      <c r="F69" s="242">
        <f>'Master Assumptions'!P182</f>
        <v>242</v>
      </c>
      <c r="G69" s="242">
        <f>'Master Assumptions'!P182</f>
        <v>242</v>
      </c>
      <c r="H69" s="242">
        <f>'Master Assumptions'!P182</f>
        <v>242</v>
      </c>
      <c r="I69" s="242">
        <f>'Master Assumptions'!Q182</f>
        <v>242</v>
      </c>
      <c r="J69" s="242">
        <f>'Master Assumptions'!Q182</f>
        <v>242</v>
      </c>
      <c r="K69" s="242">
        <f>'Master Assumptions'!Q182</f>
        <v>242</v>
      </c>
      <c r="L69" s="242">
        <f>'Master Assumptions'!R182</f>
        <v>242</v>
      </c>
      <c r="M69" s="242">
        <f>'Master Assumptions'!R182</f>
        <v>242</v>
      </c>
      <c r="N69" s="242">
        <f>'Master Assumptions'!R182</f>
        <v>242</v>
      </c>
    </row>
    <row r="70" spans="1:14" ht="16.5" thickBot="1">
      <c r="A70" s="1118"/>
      <c r="B70" s="270" t="str">
        <f>'Master Assumptions'!B183</f>
        <v>Gram - GJ221</v>
      </c>
      <c r="C70" s="242">
        <f>'Master Assumptions'!O183</f>
        <v>95</v>
      </c>
      <c r="D70" s="242">
        <f>'Master Assumptions'!O183</f>
        <v>95</v>
      </c>
      <c r="E70" s="242">
        <f>'Master Assumptions'!O183</f>
        <v>95</v>
      </c>
      <c r="F70" s="242">
        <f>'Master Assumptions'!P183</f>
        <v>95</v>
      </c>
      <c r="G70" s="242">
        <f>'Master Assumptions'!P183</f>
        <v>95</v>
      </c>
      <c r="H70" s="242">
        <f>'Master Assumptions'!P183</f>
        <v>95</v>
      </c>
      <c r="I70" s="242">
        <f>'Master Assumptions'!Q183</f>
        <v>95</v>
      </c>
      <c r="J70" s="242">
        <f>'Master Assumptions'!Q183</f>
        <v>95</v>
      </c>
      <c r="K70" s="242">
        <f>'Master Assumptions'!Q183</f>
        <v>95</v>
      </c>
      <c r="L70" s="242">
        <f>'Master Assumptions'!R183</f>
        <v>95</v>
      </c>
      <c r="M70" s="242">
        <f>'Master Assumptions'!R183</f>
        <v>95</v>
      </c>
      <c r="N70" s="242">
        <f>'Master Assumptions'!R183</f>
        <v>95</v>
      </c>
    </row>
    <row r="71" spans="1:14">
      <c r="A71" s="1117" t="s">
        <v>143</v>
      </c>
      <c r="B71" s="270" t="str">
        <f>'Master Assumptions'!B184</f>
        <v>Urea</v>
      </c>
      <c r="C71" s="242">
        <f>'Master Assumptions'!O184</f>
        <v>6</v>
      </c>
      <c r="D71" s="242">
        <f>'Master Assumptions'!O184</f>
        <v>6</v>
      </c>
      <c r="E71" s="242">
        <f>'Master Assumptions'!O184</f>
        <v>6</v>
      </c>
      <c r="F71" s="242">
        <f>'Master Assumptions'!P184</f>
        <v>6</v>
      </c>
      <c r="G71" s="242">
        <f>'Master Assumptions'!P184</f>
        <v>6</v>
      </c>
      <c r="H71" s="242">
        <f>'Master Assumptions'!P184</f>
        <v>6</v>
      </c>
      <c r="I71" s="242">
        <f>'Master Assumptions'!Q184</f>
        <v>6</v>
      </c>
      <c r="J71" s="242">
        <f>'Master Assumptions'!Q184</f>
        <v>6</v>
      </c>
      <c r="K71" s="242">
        <f>'Master Assumptions'!Q184</f>
        <v>6</v>
      </c>
      <c r="L71" s="242">
        <f>'Master Assumptions'!R184</f>
        <v>6</v>
      </c>
      <c r="M71" s="242">
        <f>'Master Assumptions'!R184</f>
        <v>6</v>
      </c>
      <c r="N71" s="242">
        <f>'Master Assumptions'!R184</f>
        <v>6</v>
      </c>
    </row>
    <row r="72" spans="1:14">
      <c r="A72" s="1116"/>
      <c r="B72" s="270" t="str">
        <f>'Master Assumptions'!B185</f>
        <v>DAP</v>
      </c>
      <c r="C72" s="242">
        <f>'Master Assumptions'!O185</f>
        <v>24</v>
      </c>
      <c r="D72" s="242">
        <f>'Master Assumptions'!O185</f>
        <v>24</v>
      </c>
      <c r="E72" s="242">
        <f>'Master Assumptions'!O185</f>
        <v>24</v>
      </c>
      <c r="F72" s="242">
        <f>'Master Assumptions'!P185</f>
        <v>24</v>
      </c>
      <c r="G72" s="242">
        <f>'Master Assumptions'!P185</f>
        <v>24</v>
      </c>
      <c r="H72" s="242">
        <f>'Master Assumptions'!P185</f>
        <v>24</v>
      </c>
      <c r="I72" s="242">
        <f>'Master Assumptions'!Q185</f>
        <v>24</v>
      </c>
      <c r="J72" s="242">
        <f>'Master Assumptions'!Q185</f>
        <v>24</v>
      </c>
      <c r="K72" s="242">
        <f>'Master Assumptions'!Q185</f>
        <v>24</v>
      </c>
      <c r="L72" s="242">
        <f>'Master Assumptions'!R185</f>
        <v>24</v>
      </c>
      <c r="M72" s="242">
        <f>'Master Assumptions'!R185</f>
        <v>24</v>
      </c>
      <c r="N72" s="242">
        <f>'Master Assumptions'!R185</f>
        <v>24</v>
      </c>
    </row>
    <row r="73" spans="1:14">
      <c r="A73" s="1116"/>
      <c r="B73" s="270" t="str">
        <f>'Master Assumptions'!B186</f>
        <v>SSP</v>
      </c>
      <c r="C73" s="242">
        <f>'Master Assumptions'!O186</f>
        <v>6</v>
      </c>
      <c r="D73" s="242">
        <f>'Master Assumptions'!O186</f>
        <v>6</v>
      </c>
      <c r="E73" s="242">
        <f>'Master Assumptions'!O186</f>
        <v>6</v>
      </c>
      <c r="F73" s="242">
        <f>'Master Assumptions'!P186</f>
        <v>6</v>
      </c>
      <c r="G73" s="242">
        <f>'Master Assumptions'!P186</f>
        <v>6</v>
      </c>
      <c r="H73" s="242">
        <f>'Master Assumptions'!P186</f>
        <v>6</v>
      </c>
      <c r="I73" s="242">
        <f>'Master Assumptions'!Q186</f>
        <v>6</v>
      </c>
      <c r="J73" s="242">
        <f>'Master Assumptions'!Q186</f>
        <v>6</v>
      </c>
      <c r="K73" s="242">
        <f>'Master Assumptions'!Q186</f>
        <v>6</v>
      </c>
      <c r="L73" s="242">
        <f>'Master Assumptions'!R186</f>
        <v>6</v>
      </c>
      <c r="M73" s="242">
        <f>'Master Assumptions'!R186</f>
        <v>6</v>
      </c>
      <c r="N73" s="242">
        <f>'Master Assumptions'!R186</f>
        <v>6</v>
      </c>
    </row>
    <row r="74" spans="1:14">
      <c r="A74" s="1116"/>
      <c r="B74" s="270" t="str">
        <f>'Master Assumptions'!B187</f>
        <v>NPK 19 19 19</v>
      </c>
      <c r="C74" s="242">
        <f>'Master Assumptions'!O187</f>
        <v>74</v>
      </c>
      <c r="D74" s="242">
        <f>'Master Assumptions'!O187</f>
        <v>74</v>
      </c>
      <c r="E74" s="242">
        <f>'Master Assumptions'!O187</f>
        <v>74</v>
      </c>
      <c r="F74" s="242">
        <f>'Master Assumptions'!P187</f>
        <v>74</v>
      </c>
      <c r="G74" s="242">
        <f>'Master Assumptions'!P187</f>
        <v>74</v>
      </c>
      <c r="H74" s="242">
        <f>'Master Assumptions'!P187</f>
        <v>74</v>
      </c>
      <c r="I74" s="242">
        <f>'Master Assumptions'!Q187</f>
        <v>74</v>
      </c>
      <c r="J74" s="242">
        <f>'Master Assumptions'!Q187</f>
        <v>74</v>
      </c>
      <c r="K74" s="242">
        <f>'Master Assumptions'!Q187</f>
        <v>74</v>
      </c>
      <c r="L74" s="242">
        <f>'Master Assumptions'!R187</f>
        <v>74</v>
      </c>
      <c r="M74" s="242">
        <f>'Master Assumptions'!R187</f>
        <v>74</v>
      </c>
      <c r="N74" s="242">
        <f>'Master Assumptions'!R187</f>
        <v>74</v>
      </c>
    </row>
    <row r="75" spans="1:14">
      <c r="A75" s="1116"/>
      <c r="B75" s="270" t="str">
        <f>'Master Assumptions'!B188</f>
        <v>12, 61, 0</v>
      </c>
      <c r="C75" s="242">
        <f>'Master Assumptions'!O188</f>
        <v>86</v>
      </c>
      <c r="D75" s="242">
        <f>'Master Assumptions'!O188</f>
        <v>86</v>
      </c>
      <c r="E75" s="242">
        <f>'Master Assumptions'!O188</f>
        <v>86</v>
      </c>
      <c r="F75" s="242">
        <f>'Master Assumptions'!P188</f>
        <v>86</v>
      </c>
      <c r="G75" s="242">
        <f>'Master Assumptions'!P188</f>
        <v>86</v>
      </c>
      <c r="H75" s="242">
        <f>'Master Assumptions'!P188</f>
        <v>86</v>
      </c>
      <c r="I75" s="242">
        <f>'Master Assumptions'!Q188</f>
        <v>86</v>
      </c>
      <c r="J75" s="242">
        <f>'Master Assumptions'!Q188</f>
        <v>86</v>
      </c>
      <c r="K75" s="242">
        <f>'Master Assumptions'!Q188</f>
        <v>86</v>
      </c>
      <c r="L75" s="242">
        <f>'Master Assumptions'!R188</f>
        <v>86</v>
      </c>
      <c r="M75" s="242">
        <f>'Master Assumptions'!R188</f>
        <v>86</v>
      </c>
      <c r="N75" s="242">
        <f>'Master Assumptions'!R188</f>
        <v>86</v>
      </c>
    </row>
    <row r="76" spans="1:14">
      <c r="A76" s="1116"/>
      <c r="B76" s="270" t="str">
        <f>'Master Assumptions'!B189</f>
        <v>13, 0, 45</v>
      </c>
      <c r="C76" s="242">
        <f>'Master Assumptions'!O189</f>
        <v>86</v>
      </c>
      <c r="D76" s="242">
        <f>'Master Assumptions'!O189</f>
        <v>86</v>
      </c>
      <c r="E76" s="242">
        <f>'Master Assumptions'!O189</f>
        <v>86</v>
      </c>
      <c r="F76" s="242">
        <f>'Master Assumptions'!P189</f>
        <v>86</v>
      </c>
      <c r="G76" s="242">
        <f>'Master Assumptions'!P189</f>
        <v>86</v>
      </c>
      <c r="H76" s="242">
        <f>'Master Assumptions'!P189</f>
        <v>86</v>
      </c>
      <c r="I76" s="242">
        <f>'Master Assumptions'!Q189</f>
        <v>86</v>
      </c>
      <c r="J76" s="242">
        <f>'Master Assumptions'!Q189</f>
        <v>86</v>
      </c>
      <c r="K76" s="242">
        <f>'Master Assumptions'!Q189</f>
        <v>86</v>
      </c>
      <c r="L76" s="242">
        <f>'Master Assumptions'!R189</f>
        <v>86</v>
      </c>
      <c r="M76" s="242">
        <f>'Master Assumptions'!R189</f>
        <v>86</v>
      </c>
      <c r="N76" s="242">
        <f>'Master Assumptions'!R189</f>
        <v>86</v>
      </c>
    </row>
    <row r="77" spans="1:14">
      <c r="A77" s="1116"/>
      <c r="B77" s="270" t="str">
        <f>'Master Assumptions'!B190</f>
        <v>Calcium nitrate</v>
      </c>
      <c r="C77" s="242">
        <f>'Master Assumptions'!O190</f>
        <v>32</v>
      </c>
      <c r="D77" s="242">
        <f>'Master Assumptions'!O190</f>
        <v>32</v>
      </c>
      <c r="E77" s="242">
        <f>'Master Assumptions'!O190</f>
        <v>32</v>
      </c>
      <c r="F77" s="242">
        <f>'Master Assumptions'!P190</f>
        <v>32</v>
      </c>
      <c r="G77" s="242">
        <f>'Master Assumptions'!P190</f>
        <v>32</v>
      </c>
      <c r="H77" s="242">
        <f>'Master Assumptions'!P190</f>
        <v>32</v>
      </c>
      <c r="I77" s="242">
        <f>'Master Assumptions'!Q190</f>
        <v>32</v>
      </c>
      <c r="J77" s="242">
        <f>'Master Assumptions'!Q190</f>
        <v>32</v>
      </c>
      <c r="K77" s="242">
        <f>'Master Assumptions'!Q190</f>
        <v>32</v>
      </c>
      <c r="L77" s="242">
        <f>'Master Assumptions'!R190</f>
        <v>32</v>
      </c>
      <c r="M77" s="242">
        <f>'Master Assumptions'!R190</f>
        <v>32</v>
      </c>
      <c r="N77" s="242">
        <f>'Master Assumptions'!R190</f>
        <v>32</v>
      </c>
    </row>
    <row r="78" spans="1:14">
      <c r="A78" s="1116"/>
      <c r="B78" s="270" t="str">
        <f>'Master Assumptions'!B191</f>
        <v>MGSO4</v>
      </c>
      <c r="C78" s="242">
        <f>'Master Assumptions'!O191</f>
        <v>13</v>
      </c>
      <c r="D78" s="242">
        <f>'Master Assumptions'!O191</f>
        <v>13</v>
      </c>
      <c r="E78" s="242">
        <f>'Master Assumptions'!O191</f>
        <v>13</v>
      </c>
      <c r="F78" s="242">
        <f>'Master Assumptions'!P191</f>
        <v>13</v>
      </c>
      <c r="G78" s="242">
        <f>'Master Assumptions'!P191</f>
        <v>13</v>
      </c>
      <c r="H78" s="242">
        <f>'Master Assumptions'!P191</f>
        <v>13</v>
      </c>
      <c r="I78" s="242">
        <f>'Master Assumptions'!Q191</f>
        <v>13</v>
      </c>
      <c r="J78" s="242">
        <f>'Master Assumptions'!Q191</f>
        <v>13</v>
      </c>
      <c r="K78" s="242">
        <f>'Master Assumptions'!Q191</f>
        <v>13</v>
      </c>
      <c r="L78" s="242">
        <f>'Master Assumptions'!R191</f>
        <v>13</v>
      </c>
      <c r="M78" s="242">
        <f>'Master Assumptions'!R191</f>
        <v>13</v>
      </c>
      <c r="N78" s="242">
        <f>'Master Assumptions'!R191</f>
        <v>13</v>
      </c>
    </row>
    <row r="79" spans="1:14">
      <c r="A79" s="1116"/>
      <c r="B79" s="270" t="str">
        <f>'Master Assumptions'!B192</f>
        <v>0 52 34</v>
      </c>
      <c r="C79" s="242">
        <f>'Master Assumptions'!O192</f>
        <v>100</v>
      </c>
      <c r="D79" s="242">
        <f>'Master Assumptions'!O192</f>
        <v>100</v>
      </c>
      <c r="E79" s="242">
        <f>'Master Assumptions'!O192</f>
        <v>100</v>
      </c>
      <c r="F79" s="242">
        <f>'Master Assumptions'!P192</f>
        <v>100</v>
      </c>
      <c r="G79" s="242">
        <f>'Master Assumptions'!P192</f>
        <v>100</v>
      </c>
      <c r="H79" s="242">
        <f>'Master Assumptions'!P192</f>
        <v>100</v>
      </c>
      <c r="I79" s="242">
        <f>'Master Assumptions'!Q192</f>
        <v>100</v>
      </c>
      <c r="J79" s="242">
        <f>'Master Assumptions'!Q192</f>
        <v>100</v>
      </c>
      <c r="K79" s="242">
        <f>'Master Assumptions'!Q192</f>
        <v>100</v>
      </c>
      <c r="L79" s="242">
        <f>'Master Assumptions'!R192</f>
        <v>100</v>
      </c>
      <c r="M79" s="242">
        <f>'Master Assumptions'!R192</f>
        <v>100</v>
      </c>
      <c r="N79" s="242">
        <f>'Master Assumptions'!R192</f>
        <v>100</v>
      </c>
    </row>
    <row r="80" spans="1:14">
      <c r="A80" s="1116"/>
      <c r="B80" s="270" t="str">
        <f>'Master Assumptions'!B193</f>
        <v>13 40 13</v>
      </c>
      <c r="C80" s="242">
        <f>'Master Assumptions'!O193</f>
        <v>84</v>
      </c>
      <c r="D80" s="242">
        <f>'Master Assumptions'!O193</f>
        <v>84</v>
      </c>
      <c r="E80" s="242">
        <f>'Master Assumptions'!O193</f>
        <v>84</v>
      </c>
      <c r="F80" s="242">
        <f>'Master Assumptions'!P193</f>
        <v>84</v>
      </c>
      <c r="G80" s="242">
        <f>'Master Assumptions'!P193</f>
        <v>84</v>
      </c>
      <c r="H80" s="242">
        <f>'Master Assumptions'!P193</f>
        <v>84</v>
      </c>
      <c r="I80" s="242">
        <f>'Master Assumptions'!Q193</f>
        <v>84</v>
      </c>
      <c r="J80" s="242">
        <f>'Master Assumptions'!Q193</f>
        <v>84</v>
      </c>
      <c r="K80" s="242">
        <f>'Master Assumptions'!Q193</f>
        <v>84</v>
      </c>
      <c r="L80" s="242">
        <f>'Master Assumptions'!R193</f>
        <v>84</v>
      </c>
      <c r="M80" s="242">
        <f>'Master Assumptions'!R193</f>
        <v>84</v>
      </c>
      <c r="N80" s="242">
        <f>'Master Assumptions'!R193</f>
        <v>84</v>
      </c>
    </row>
    <row r="81" spans="1:14">
      <c r="A81" s="1116"/>
      <c r="B81" s="270" t="str">
        <f>'Master Assumptions'!B194</f>
        <v>Micro nutrients</v>
      </c>
      <c r="C81" s="242">
        <f>'Master Assumptions'!O194</f>
        <v>137</v>
      </c>
      <c r="D81" s="242">
        <f>'Master Assumptions'!O194</f>
        <v>137</v>
      </c>
      <c r="E81" s="242">
        <f>'Master Assumptions'!O194</f>
        <v>137</v>
      </c>
      <c r="F81" s="242">
        <f>'Master Assumptions'!P194</f>
        <v>137</v>
      </c>
      <c r="G81" s="242">
        <f>'Master Assumptions'!P194</f>
        <v>137</v>
      </c>
      <c r="H81" s="242">
        <f>'Master Assumptions'!P194</f>
        <v>137</v>
      </c>
      <c r="I81" s="242">
        <f>'Master Assumptions'!Q194</f>
        <v>137</v>
      </c>
      <c r="J81" s="242">
        <f>'Master Assumptions'!Q194</f>
        <v>137</v>
      </c>
      <c r="K81" s="242">
        <f>'Master Assumptions'!Q194</f>
        <v>137</v>
      </c>
      <c r="L81" s="242">
        <f>'Master Assumptions'!R194</f>
        <v>137</v>
      </c>
      <c r="M81" s="242">
        <f>'Master Assumptions'!R194</f>
        <v>137</v>
      </c>
      <c r="N81" s="242">
        <f>'Master Assumptions'!R194</f>
        <v>137</v>
      </c>
    </row>
    <row r="82" spans="1:14" ht="16.5" thickBot="1">
      <c r="A82" s="1118"/>
      <c r="B82" s="270" t="str">
        <f>'Master Assumptions'!B195</f>
        <v>Humic acid</v>
      </c>
      <c r="C82" s="242">
        <f>'Master Assumptions'!O195</f>
        <v>105</v>
      </c>
      <c r="D82" s="242">
        <f>'Master Assumptions'!O195</f>
        <v>105</v>
      </c>
      <c r="E82" s="242">
        <f>'Master Assumptions'!O195</f>
        <v>105</v>
      </c>
      <c r="F82" s="242">
        <f>'Master Assumptions'!P195</f>
        <v>105</v>
      </c>
      <c r="G82" s="242">
        <f>'Master Assumptions'!P195</f>
        <v>105</v>
      </c>
      <c r="H82" s="242">
        <f>'Master Assumptions'!P195</f>
        <v>105</v>
      </c>
      <c r="I82" s="242">
        <f>'Master Assumptions'!Q195</f>
        <v>105</v>
      </c>
      <c r="J82" s="242">
        <f>'Master Assumptions'!Q195</f>
        <v>105</v>
      </c>
      <c r="K82" s="242">
        <f>'Master Assumptions'!Q195</f>
        <v>105</v>
      </c>
      <c r="L82" s="242">
        <f>'Master Assumptions'!R195</f>
        <v>105</v>
      </c>
      <c r="M82" s="242">
        <f>'Master Assumptions'!R195</f>
        <v>105</v>
      </c>
      <c r="N82" s="242">
        <f>'Master Assumptions'!R195</f>
        <v>105</v>
      </c>
    </row>
    <row r="83" spans="1:14">
      <c r="A83" s="1117" t="s">
        <v>156</v>
      </c>
      <c r="B83" s="270" t="str">
        <f>'Master Assumptions'!B196</f>
        <v>profenofaas</v>
      </c>
      <c r="C83" s="242">
        <f>'Master Assumptions'!O196</f>
        <v>856</v>
      </c>
      <c r="D83" s="242">
        <f>'Master Assumptions'!O196</f>
        <v>856</v>
      </c>
      <c r="E83" s="242">
        <f>'Master Assumptions'!O196</f>
        <v>856</v>
      </c>
      <c r="F83" s="242">
        <f>'Master Assumptions'!P196</f>
        <v>856</v>
      </c>
      <c r="G83" s="242">
        <f>'Master Assumptions'!P196</f>
        <v>856</v>
      </c>
      <c r="H83" s="242">
        <f>'Master Assumptions'!P196</f>
        <v>856</v>
      </c>
      <c r="I83" s="242">
        <f>'Master Assumptions'!Q196</f>
        <v>856</v>
      </c>
      <c r="J83" s="242">
        <f>'Master Assumptions'!Q196</f>
        <v>856</v>
      </c>
      <c r="K83" s="242">
        <f>'Master Assumptions'!Q196</f>
        <v>856</v>
      </c>
      <c r="L83" s="242">
        <f>'Master Assumptions'!R196</f>
        <v>856</v>
      </c>
      <c r="M83" s="242">
        <f>'Master Assumptions'!R196</f>
        <v>856</v>
      </c>
      <c r="N83" s="242">
        <f>'Master Assumptions'!R196</f>
        <v>856</v>
      </c>
    </row>
    <row r="84" spans="1:14">
      <c r="A84" s="1116"/>
      <c r="B84" s="270" t="str">
        <f>'Master Assumptions'!B197</f>
        <v>Cartep</v>
      </c>
      <c r="C84" s="242">
        <f>'Master Assumptions'!O197</f>
        <v>893</v>
      </c>
      <c r="D84" s="242">
        <f>'Master Assumptions'!O197</f>
        <v>893</v>
      </c>
      <c r="E84" s="242">
        <f>'Master Assumptions'!O197</f>
        <v>893</v>
      </c>
      <c r="F84" s="242">
        <f>'Master Assumptions'!P197</f>
        <v>893</v>
      </c>
      <c r="G84" s="242">
        <f>'Master Assumptions'!P197</f>
        <v>893</v>
      </c>
      <c r="H84" s="242">
        <f>'Master Assumptions'!P197</f>
        <v>893</v>
      </c>
      <c r="I84" s="242">
        <f>'Master Assumptions'!Q197</f>
        <v>893</v>
      </c>
      <c r="J84" s="242">
        <f>'Master Assumptions'!Q197</f>
        <v>893</v>
      </c>
      <c r="K84" s="242">
        <f>'Master Assumptions'!Q197</f>
        <v>893</v>
      </c>
      <c r="L84" s="242">
        <f>'Master Assumptions'!R197</f>
        <v>893</v>
      </c>
      <c r="M84" s="242">
        <f>'Master Assumptions'!R197</f>
        <v>893</v>
      </c>
      <c r="N84" s="242">
        <f>'Master Assumptions'!R197</f>
        <v>893</v>
      </c>
    </row>
    <row r="85" spans="1:14">
      <c r="A85" s="1116"/>
      <c r="B85" s="270" t="str">
        <f>'Master Assumptions'!B198</f>
        <v>chloropyrofaas</v>
      </c>
      <c r="C85" s="242">
        <f>'Master Assumptions'!O198</f>
        <v>945</v>
      </c>
      <c r="D85" s="242">
        <f>'Master Assumptions'!O198</f>
        <v>945</v>
      </c>
      <c r="E85" s="242">
        <f>'Master Assumptions'!O198</f>
        <v>945</v>
      </c>
      <c r="F85" s="242">
        <f>'Master Assumptions'!P198</f>
        <v>945</v>
      </c>
      <c r="G85" s="242">
        <f>'Master Assumptions'!P198</f>
        <v>945</v>
      </c>
      <c r="H85" s="242">
        <f>'Master Assumptions'!P198</f>
        <v>945</v>
      </c>
      <c r="I85" s="242">
        <f>'Master Assumptions'!Q198</f>
        <v>945</v>
      </c>
      <c r="J85" s="242">
        <f>'Master Assumptions'!Q198</f>
        <v>945</v>
      </c>
      <c r="K85" s="242">
        <f>'Master Assumptions'!Q198</f>
        <v>945</v>
      </c>
      <c r="L85" s="242">
        <f>'Master Assumptions'!R198</f>
        <v>945</v>
      </c>
      <c r="M85" s="242">
        <f>'Master Assumptions'!R198</f>
        <v>945</v>
      </c>
      <c r="N85" s="242">
        <f>'Master Assumptions'!R198</f>
        <v>945</v>
      </c>
    </row>
    <row r="86" spans="1:14">
      <c r="A86" s="1116"/>
      <c r="B86" s="270" t="str">
        <f>'Master Assumptions'!B199</f>
        <v>imamectine</v>
      </c>
      <c r="C86" s="242">
        <f>'Master Assumptions'!O199</f>
        <v>4725</v>
      </c>
      <c r="D86" s="242">
        <f>'Master Assumptions'!O199</f>
        <v>4725</v>
      </c>
      <c r="E86" s="242">
        <f>'Master Assumptions'!O199</f>
        <v>4725</v>
      </c>
      <c r="F86" s="242">
        <f>'Master Assumptions'!P199</f>
        <v>4725</v>
      </c>
      <c r="G86" s="242">
        <f>'Master Assumptions'!P199</f>
        <v>4725</v>
      </c>
      <c r="H86" s="242">
        <f>'Master Assumptions'!P199</f>
        <v>4725</v>
      </c>
      <c r="I86" s="242">
        <f>'Master Assumptions'!Q199</f>
        <v>4725</v>
      </c>
      <c r="J86" s="242">
        <f>'Master Assumptions'!Q199</f>
        <v>4725</v>
      </c>
      <c r="K86" s="242">
        <f>'Master Assumptions'!Q199</f>
        <v>4725</v>
      </c>
      <c r="L86" s="242">
        <f>'Master Assumptions'!R199</f>
        <v>4725</v>
      </c>
      <c r="M86" s="242">
        <f>'Master Assumptions'!R199</f>
        <v>4725</v>
      </c>
      <c r="N86" s="242">
        <f>'Master Assumptions'!R199</f>
        <v>4725</v>
      </c>
    </row>
    <row r="87" spans="1:14">
      <c r="A87" s="1116"/>
      <c r="B87" s="270" t="str">
        <f>'Master Assumptions'!B200</f>
        <v>imida</v>
      </c>
      <c r="C87" s="242">
        <f>'Master Assumptions'!O200</f>
        <v>1523</v>
      </c>
      <c r="D87" s="242">
        <f>'Master Assumptions'!O200</f>
        <v>1523</v>
      </c>
      <c r="E87" s="242">
        <f>'Master Assumptions'!O200</f>
        <v>1523</v>
      </c>
      <c r="F87" s="242">
        <f>'Master Assumptions'!P200</f>
        <v>1523</v>
      </c>
      <c r="G87" s="242">
        <f>'Master Assumptions'!P200</f>
        <v>1523</v>
      </c>
      <c r="H87" s="242">
        <f>'Master Assumptions'!P200</f>
        <v>1523</v>
      </c>
      <c r="I87" s="242">
        <f>'Master Assumptions'!Q200</f>
        <v>1523</v>
      </c>
      <c r="J87" s="242">
        <f>'Master Assumptions'!Q200</f>
        <v>1523</v>
      </c>
      <c r="K87" s="242">
        <f>'Master Assumptions'!Q200</f>
        <v>1523</v>
      </c>
      <c r="L87" s="242">
        <f>'Master Assumptions'!R200</f>
        <v>1523</v>
      </c>
      <c r="M87" s="242">
        <f>'Master Assumptions'!R200</f>
        <v>1523</v>
      </c>
      <c r="N87" s="242">
        <f>'Master Assumptions'!R200</f>
        <v>1523</v>
      </c>
    </row>
    <row r="88" spans="1:14">
      <c r="A88" s="1116"/>
      <c r="B88" s="270" t="str">
        <f>'Master Assumptions'!B201</f>
        <v>thimomathaxom</v>
      </c>
      <c r="C88" s="242">
        <f>'Master Assumptions'!O201</f>
        <v>2363</v>
      </c>
      <c r="D88" s="242">
        <f>'Master Assumptions'!O201</f>
        <v>2363</v>
      </c>
      <c r="E88" s="242">
        <f>'Master Assumptions'!O201</f>
        <v>2363</v>
      </c>
      <c r="F88" s="242">
        <f>'Master Assumptions'!P201</f>
        <v>2363</v>
      </c>
      <c r="G88" s="242">
        <f>'Master Assumptions'!P201</f>
        <v>2363</v>
      </c>
      <c r="H88" s="242">
        <f>'Master Assumptions'!P201</f>
        <v>2363</v>
      </c>
      <c r="I88" s="242">
        <f>'Master Assumptions'!Q201</f>
        <v>2363</v>
      </c>
      <c r="J88" s="242">
        <f>'Master Assumptions'!Q201</f>
        <v>2363</v>
      </c>
      <c r="K88" s="242">
        <f>'Master Assumptions'!Q201</f>
        <v>2363</v>
      </c>
      <c r="L88" s="242">
        <f>'Master Assumptions'!R201</f>
        <v>2363</v>
      </c>
      <c r="M88" s="242">
        <f>'Master Assumptions'!R201</f>
        <v>2363</v>
      </c>
      <c r="N88" s="242">
        <f>'Master Assumptions'!R201</f>
        <v>2363</v>
      </c>
    </row>
    <row r="89" spans="1:14">
      <c r="A89" s="1116"/>
      <c r="B89" s="270" t="str">
        <f>'Master Assumptions'!B202</f>
        <v>acifate</v>
      </c>
      <c r="C89" s="242">
        <f>'Master Assumptions'!O202</f>
        <v>630</v>
      </c>
      <c r="D89" s="242">
        <f>'Master Assumptions'!O202</f>
        <v>630</v>
      </c>
      <c r="E89" s="242">
        <f>'Master Assumptions'!O202</f>
        <v>630</v>
      </c>
      <c r="F89" s="242">
        <f>'Master Assumptions'!P202</f>
        <v>630</v>
      </c>
      <c r="G89" s="242">
        <f>'Master Assumptions'!P202</f>
        <v>630</v>
      </c>
      <c r="H89" s="242">
        <f>'Master Assumptions'!P202</f>
        <v>630</v>
      </c>
      <c r="I89" s="242">
        <f>'Master Assumptions'!Q202</f>
        <v>630</v>
      </c>
      <c r="J89" s="242">
        <f>'Master Assumptions'!Q202</f>
        <v>630</v>
      </c>
      <c r="K89" s="242">
        <f>'Master Assumptions'!Q202</f>
        <v>630</v>
      </c>
      <c r="L89" s="242">
        <f>'Master Assumptions'!R202</f>
        <v>630</v>
      </c>
      <c r="M89" s="242">
        <f>'Master Assumptions'!R202</f>
        <v>630</v>
      </c>
      <c r="N89" s="242">
        <f>'Master Assumptions'!R202</f>
        <v>630</v>
      </c>
    </row>
    <row r="90" spans="1:14" ht="16.5" thickBot="1">
      <c r="A90" s="1118"/>
      <c r="B90" s="270" t="str">
        <f>'Master Assumptions'!B203</f>
        <v>Cypermathene</v>
      </c>
      <c r="C90" s="242">
        <f>'Master Assumptions'!O203</f>
        <v>840</v>
      </c>
      <c r="D90" s="242">
        <f>'Master Assumptions'!O203</f>
        <v>840</v>
      </c>
      <c r="E90" s="242">
        <f>'Master Assumptions'!O203</f>
        <v>840</v>
      </c>
      <c r="F90" s="242">
        <f>'Master Assumptions'!P203</f>
        <v>840</v>
      </c>
      <c r="G90" s="242">
        <f>'Master Assumptions'!P203</f>
        <v>840</v>
      </c>
      <c r="H90" s="242">
        <f>'Master Assumptions'!P203</f>
        <v>840</v>
      </c>
      <c r="I90" s="242">
        <f>'Master Assumptions'!Q203</f>
        <v>840</v>
      </c>
      <c r="J90" s="242">
        <f>'Master Assumptions'!Q203</f>
        <v>840</v>
      </c>
      <c r="K90" s="242">
        <f>'Master Assumptions'!Q203</f>
        <v>840</v>
      </c>
      <c r="L90" s="242">
        <f>'Master Assumptions'!R203</f>
        <v>840</v>
      </c>
      <c r="M90" s="242">
        <f>'Master Assumptions'!R203</f>
        <v>840</v>
      </c>
      <c r="N90" s="242">
        <f>'Master Assumptions'!R203</f>
        <v>840</v>
      </c>
    </row>
    <row r="91" spans="1:14">
      <c r="A91" s="1117" t="s">
        <v>165</v>
      </c>
      <c r="B91" s="270" t="str">
        <f>'Master Assumptions'!B204</f>
        <v>Avancergold</v>
      </c>
      <c r="C91" s="242">
        <f>'Master Assumptions'!O204</f>
        <v>1397</v>
      </c>
      <c r="D91" s="242">
        <f>'Master Assumptions'!O204</f>
        <v>1397</v>
      </c>
      <c r="E91" s="242">
        <f>'Master Assumptions'!O204</f>
        <v>1397</v>
      </c>
      <c r="F91" s="242">
        <f>'Master Assumptions'!P204</f>
        <v>1397</v>
      </c>
      <c r="G91" s="242">
        <f>'Master Assumptions'!P204</f>
        <v>1397</v>
      </c>
      <c r="H91" s="242">
        <f>'Master Assumptions'!P204</f>
        <v>1397</v>
      </c>
      <c r="I91" s="242">
        <f>'Master Assumptions'!Q204</f>
        <v>1397</v>
      </c>
      <c r="J91" s="242">
        <f>'Master Assumptions'!Q204</f>
        <v>1397</v>
      </c>
      <c r="K91" s="242">
        <f>'Master Assumptions'!Q204</f>
        <v>1397</v>
      </c>
      <c r="L91" s="242">
        <f>'Master Assumptions'!R204</f>
        <v>1397</v>
      </c>
      <c r="M91" s="242">
        <f>'Master Assumptions'!R204</f>
        <v>1397</v>
      </c>
      <c r="N91" s="242">
        <f>'Master Assumptions'!R204</f>
        <v>1397</v>
      </c>
    </row>
    <row r="92" spans="1:14">
      <c r="A92" s="1116"/>
      <c r="B92" s="270" t="str">
        <f>'Master Assumptions'!B205</f>
        <v>Provex</v>
      </c>
      <c r="C92" s="242">
        <f>'Master Assumptions'!O205</f>
        <v>1628</v>
      </c>
      <c r="D92" s="242">
        <f>'Master Assumptions'!O205</f>
        <v>1628</v>
      </c>
      <c r="E92" s="242">
        <f>'Master Assumptions'!O205</f>
        <v>1628</v>
      </c>
      <c r="F92" s="242">
        <f>'Master Assumptions'!P205</f>
        <v>1628</v>
      </c>
      <c r="G92" s="242">
        <f>'Master Assumptions'!P205</f>
        <v>1628</v>
      </c>
      <c r="H92" s="242">
        <f>'Master Assumptions'!P205</f>
        <v>1628</v>
      </c>
      <c r="I92" s="242">
        <f>'Master Assumptions'!Q205</f>
        <v>1628</v>
      </c>
      <c r="J92" s="242">
        <f>'Master Assumptions'!Q205</f>
        <v>1628</v>
      </c>
      <c r="K92" s="242">
        <f>'Master Assumptions'!Q205</f>
        <v>1628</v>
      </c>
      <c r="L92" s="242">
        <f>'Master Assumptions'!R205</f>
        <v>1628</v>
      </c>
      <c r="M92" s="242">
        <f>'Master Assumptions'!R205</f>
        <v>1628</v>
      </c>
      <c r="N92" s="242">
        <f>'Master Assumptions'!R205</f>
        <v>1628</v>
      </c>
    </row>
    <row r="93" spans="1:14">
      <c r="A93" s="1116"/>
      <c r="B93" s="270" t="str">
        <f>'Master Assumptions'!B206</f>
        <v>Quprofix</v>
      </c>
      <c r="C93" s="242">
        <f>'Master Assumptions'!O206</f>
        <v>945</v>
      </c>
      <c r="D93" s="242">
        <f>'Master Assumptions'!O206</f>
        <v>945</v>
      </c>
      <c r="E93" s="242">
        <f>'Master Assumptions'!O206</f>
        <v>945</v>
      </c>
      <c r="F93" s="242">
        <f>'Master Assumptions'!P206</f>
        <v>945</v>
      </c>
      <c r="G93" s="242">
        <f>'Master Assumptions'!P206</f>
        <v>945</v>
      </c>
      <c r="H93" s="242">
        <f>'Master Assumptions'!P206</f>
        <v>945</v>
      </c>
      <c r="I93" s="242">
        <f>'Master Assumptions'!Q206</f>
        <v>945</v>
      </c>
      <c r="J93" s="242">
        <f>'Master Assumptions'!Q206</f>
        <v>945</v>
      </c>
      <c r="K93" s="242">
        <f>'Master Assumptions'!Q206</f>
        <v>945</v>
      </c>
      <c r="L93" s="242">
        <f>'Master Assumptions'!R206</f>
        <v>945</v>
      </c>
      <c r="M93" s="242">
        <f>'Master Assumptions'!R206</f>
        <v>945</v>
      </c>
      <c r="N93" s="242">
        <f>'Master Assumptions'!R206</f>
        <v>945</v>
      </c>
    </row>
    <row r="94" spans="1:14">
      <c r="A94" s="1116"/>
      <c r="B94" s="270" t="str">
        <f>'Master Assumptions'!B207</f>
        <v>Ranman</v>
      </c>
      <c r="C94" s="242">
        <f>'Master Assumptions'!O207</f>
        <v>21000</v>
      </c>
      <c r="D94" s="242">
        <f>'Master Assumptions'!O207</f>
        <v>21000</v>
      </c>
      <c r="E94" s="242">
        <f>'Master Assumptions'!O207</f>
        <v>21000</v>
      </c>
      <c r="F94" s="242">
        <f>'Master Assumptions'!P207</f>
        <v>21000</v>
      </c>
      <c r="G94" s="242">
        <f>'Master Assumptions'!P207</f>
        <v>21000</v>
      </c>
      <c r="H94" s="242">
        <f>'Master Assumptions'!P207</f>
        <v>21000</v>
      </c>
      <c r="I94" s="242">
        <f>'Master Assumptions'!Q207</f>
        <v>21000</v>
      </c>
      <c r="J94" s="242">
        <f>'Master Assumptions'!Q207</f>
        <v>21000</v>
      </c>
      <c r="K94" s="242">
        <f>'Master Assumptions'!Q207</f>
        <v>21000</v>
      </c>
      <c r="L94" s="242">
        <f>'Master Assumptions'!R207</f>
        <v>21000</v>
      </c>
      <c r="M94" s="242">
        <f>'Master Assumptions'!R207</f>
        <v>21000</v>
      </c>
      <c r="N94" s="242">
        <f>'Master Assumptions'!R207</f>
        <v>21000</v>
      </c>
    </row>
    <row r="95" spans="1:14" ht="16.5" thickBot="1">
      <c r="A95" s="1118"/>
      <c r="B95" s="270" t="str">
        <f>'Master Assumptions'!B208</f>
        <v>Copper Oxichloride</v>
      </c>
      <c r="C95" s="242">
        <f>'Master Assumptions'!O208</f>
        <v>630</v>
      </c>
      <c r="D95" s="242">
        <f>'Master Assumptions'!O208</f>
        <v>630</v>
      </c>
      <c r="E95" s="242">
        <f>'Master Assumptions'!O208</f>
        <v>630</v>
      </c>
      <c r="F95" s="242">
        <f>'Master Assumptions'!P208</f>
        <v>630</v>
      </c>
      <c r="G95" s="242">
        <f>'Master Assumptions'!P208</f>
        <v>630</v>
      </c>
      <c r="H95" s="242">
        <f>'Master Assumptions'!P208</f>
        <v>630</v>
      </c>
      <c r="I95" s="242">
        <f>'Master Assumptions'!Q208</f>
        <v>630</v>
      </c>
      <c r="J95" s="242">
        <f>'Master Assumptions'!Q208</f>
        <v>630</v>
      </c>
      <c r="K95" s="242">
        <f>'Master Assumptions'!Q208</f>
        <v>630</v>
      </c>
      <c r="L95" s="242">
        <f>'Master Assumptions'!R208</f>
        <v>630</v>
      </c>
      <c r="M95" s="242">
        <f>'Master Assumptions'!R208</f>
        <v>630</v>
      </c>
      <c r="N95" s="242">
        <f>'Master Assumptions'!R208</f>
        <v>630</v>
      </c>
    </row>
    <row r="96" spans="1:14">
      <c r="A96" s="1117" t="s">
        <v>249</v>
      </c>
      <c r="B96" s="270" t="str">
        <f>'Master Assumptions'!B209</f>
        <v>Macrena</v>
      </c>
      <c r="C96" s="242">
        <f>'Master Assumptions'!O209</f>
        <v>53</v>
      </c>
      <c r="D96" s="242">
        <f>'Master Assumptions'!O209</f>
        <v>53</v>
      </c>
      <c r="E96" s="242">
        <f>'Master Assumptions'!O209</f>
        <v>53</v>
      </c>
      <c r="F96" s="242">
        <f>'Master Assumptions'!P209</f>
        <v>53</v>
      </c>
      <c r="G96" s="242">
        <f>'Master Assumptions'!P209</f>
        <v>53</v>
      </c>
      <c r="H96" s="242">
        <f>'Master Assumptions'!P209</f>
        <v>53</v>
      </c>
      <c r="I96" s="242">
        <f>'Master Assumptions'!Q209</f>
        <v>53</v>
      </c>
      <c r="J96" s="242">
        <f>'Master Assumptions'!Q209</f>
        <v>53</v>
      </c>
      <c r="K96" s="242">
        <f>'Master Assumptions'!Q209</f>
        <v>53</v>
      </c>
      <c r="L96" s="242">
        <f>'Master Assumptions'!R209</f>
        <v>53</v>
      </c>
      <c r="M96" s="242">
        <f>'Master Assumptions'!R209</f>
        <v>53</v>
      </c>
      <c r="N96" s="242">
        <f>'Master Assumptions'!R209</f>
        <v>53</v>
      </c>
    </row>
    <row r="97" spans="1:20">
      <c r="A97" s="1116"/>
      <c r="B97" s="270" t="str">
        <f>'Master Assumptions'!B210</f>
        <v>Double power</v>
      </c>
      <c r="C97" s="242">
        <f>'Master Assumptions'!O210</f>
        <v>53</v>
      </c>
      <c r="D97" s="242">
        <f>'Master Assumptions'!O210</f>
        <v>53</v>
      </c>
      <c r="E97" s="242">
        <f>'Master Assumptions'!O210</f>
        <v>53</v>
      </c>
      <c r="F97" s="242">
        <f>'Master Assumptions'!P210</f>
        <v>53</v>
      </c>
      <c r="G97" s="242">
        <f>'Master Assumptions'!P210</f>
        <v>53</v>
      </c>
      <c r="H97" s="242">
        <f>'Master Assumptions'!P210</f>
        <v>53</v>
      </c>
      <c r="I97" s="242">
        <f>'Master Assumptions'!Q210</f>
        <v>53</v>
      </c>
      <c r="J97" s="242">
        <f>'Master Assumptions'!Q210</f>
        <v>53</v>
      </c>
      <c r="K97" s="242">
        <f>'Master Assumptions'!Q210</f>
        <v>53</v>
      </c>
      <c r="L97" s="242">
        <f>'Master Assumptions'!R210</f>
        <v>53</v>
      </c>
      <c r="M97" s="242">
        <f>'Master Assumptions'!R210</f>
        <v>53</v>
      </c>
      <c r="N97" s="242">
        <f>'Master Assumptions'!R210</f>
        <v>53</v>
      </c>
    </row>
    <row r="98" spans="1:20">
      <c r="A98" s="1116"/>
      <c r="B98" s="270" t="str">
        <f>'Master Assumptions'!B211</f>
        <v>Reach flow</v>
      </c>
      <c r="C98" s="242">
        <f>'Master Assumptions'!O211</f>
        <v>32</v>
      </c>
      <c r="D98" s="242">
        <f>'Master Assumptions'!O211</f>
        <v>32</v>
      </c>
      <c r="E98" s="242">
        <f>'Master Assumptions'!O211</f>
        <v>32</v>
      </c>
      <c r="F98" s="242">
        <f>'Master Assumptions'!P211</f>
        <v>32</v>
      </c>
      <c r="G98" s="242">
        <f>'Master Assumptions'!P211</f>
        <v>32</v>
      </c>
      <c r="H98" s="242">
        <f>'Master Assumptions'!P211</f>
        <v>32</v>
      </c>
      <c r="I98" s="242">
        <f>'Master Assumptions'!Q211</f>
        <v>32</v>
      </c>
      <c r="J98" s="242">
        <f>'Master Assumptions'!Q211</f>
        <v>32</v>
      </c>
      <c r="K98" s="242">
        <f>'Master Assumptions'!Q211</f>
        <v>32</v>
      </c>
      <c r="L98" s="242">
        <f>'Master Assumptions'!R211</f>
        <v>32</v>
      </c>
      <c r="M98" s="242">
        <f>'Master Assumptions'!R211</f>
        <v>32</v>
      </c>
      <c r="N98" s="242">
        <f>'Master Assumptions'!R211</f>
        <v>32</v>
      </c>
    </row>
    <row r="99" spans="1:20" ht="16.5" thickBot="1">
      <c r="A99" s="1118"/>
      <c r="B99" s="284" t="str">
        <f>'Master Assumptions'!B212</f>
        <v>King Power</v>
      </c>
      <c r="C99" s="242">
        <f>'Master Assumptions'!O212</f>
        <v>32</v>
      </c>
      <c r="D99" s="242">
        <f>'Master Assumptions'!O212</f>
        <v>32</v>
      </c>
      <c r="E99" s="242">
        <f>'Master Assumptions'!O212</f>
        <v>32</v>
      </c>
      <c r="F99" s="242">
        <f>'Master Assumptions'!P212</f>
        <v>32</v>
      </c>
      <c r="G99" s="242">
        <f>'Master Assumptions'!P212</f>
        <v>32</v>
      </c>
      <c r="H99" s="242">
        <f>'Master Assumptions'!P212</f>
        <v>32</v>
      </c>
      <c r="I99" s="242">
        <f>'Master Assumptions'!Q212</f>
        <v>32</v>
      </c>
      <c r="J99" s="242">
        <f>'Master Assumptions'!Q212</f>
        <v>32</v>
      </c>
      <c r="K99" s="242">
        <f>'Master Assumptions'!Q212</f>
        <v>32</v>
      </c>
      <c r="L99" s="242">
        <f>'Master Assumptions'!R212</f>
        <v>32</v>
      </c>
      <c r="M99" s="242">
        <f>'Master Assumptions'!R212</f>
        <v>32</v>
      </c>
      <c r="N99" s="242">
        <f>'Master Assumptions'!R212</f>
        <v>32</v>
      </c>
    </row>
    <row r="101" spans="1:20" ht="16.5" thickBot="1"/>
    <row r="102" spans="1:20" ht="16.5" thickBot="1">
      <c r="A102" s="1108" t="s">
        <v>248</v>
      </c>
      <c r="B102" s="1110" t="s">
        <v>119</v>
      </c>
      <c r="C102" s="1112" t="s">
        <v>47</v>
      </c>
      <c r="D102" s="1113"/>
      <c r="E102" s="1113"/>
      <c r="F102" s="1113"/>
      <c r="G102" s="1113"/>
      <c r="H102" s="1113"/>
      <c r="I102" s="1113"/>
      <c r="J102" s="1113"/>
      <c r="K102" s="1113"/>
      <c r="L102" s="1113"/>
      <c r="M102" s="1113"/>
      <c r="N102" s="1114"/>
    </row>
    <row r="103" spans="1:20" ht="16.5" thickBot="1">
      <c r="A103" s="1109"/>
      <c r="B103" s="1111"/>
      <c r="C103" s="261">
        <v>44652</v>
      </c>
      <c r="D103" s="255">
        <v>44682</v>
      </c>
      <c r="E103" s="256">
        <v>44713</v>
      </c>
      <c r="F103" s="255">
        <v>44743</v>
      </c>
      <c r="G103" s="256">
        <v>44774</v>
      </c>
      <c r="H103" s="255">
        <v>44805</v>
      </c>
      <c r="I103" s="256">
        <v>44835</v>
      </c>
      <c r="J103" s="255">
        <v>44866</v>
      </c>
      <c r="K103" s="256">
        <v>44896</v>
      </c>
      <c r="L103" s="255">
        <v>44927</v>
      </c>
      <c r="M103" s="256">
        <v>44958</v>
      </c>
      <c r="N103" s="257">
        <v>44986</v>
      </c>
    </row>
    <row r="104" spans="1:20">
      <c r="A104" s="1117" t="s">
        <v>127</v>
      </c>
      <c r="B104" s="248" t="str">
        <f>'Master Assumptions'!B114</f>
        <v>Basmati</v>
      </c>
      <c r="C104" s="248">
        <f>C4*C54</f>
        <v>0</v>
      </c>
      <c r="D104" s="248">
        <f t="shared" ref="D104:N104" si="0">D4*D54</f>
        <v>0</v>
      </c>
      <c r="E104" s="248">
        <f t="shared" si="0"/>
        <v>0</v>
      </c>
      <c r="F104" s="248">
        <f t="shared" si="0"/>
        <v>19832</v>
      </c>
      <c r="G104" s="248">
        <f t="shared" si="0"/>
        <v>29748</v>
      </c>
      <c r="H104" s="248">
        <f t="shared" si="0"/>
        <v>49580</v>
      </c>
      <c r="I104" s="248">
        <f t="shared" si="0"/>
        <v>0</v>
      </c>
      <c r="J104" s="248">
        <f t="shared" si="0"/>
        <v>0</v>
      </c>
      <c r="K104" s="248">
        <f t="shared" si="0"/>
        <v>0</v>
      </c>
      <c r="L104" s="248">
        <f t="shared" si="0"/>
        <v>0</v>
      </c>
      <c r="M104" s="248">
        <f t="shared" si="0"/>
        <v>0</v>
      </c>
      <c r="N104" s="248">
        <f t="shared" si="0"/>
        <v>0</v>
      </c>
    </row>
    <row r="105" spans="1:20">
      <c r="A105" s="1116"/>
      <c r="B105" s="248" t="str">
        <f>'Master Assumptions'!B115</f>
        <v>Jordaar</v>
      </c>
      <c r="C105" s="248">
        <f>C5*C55</f>
        <v>0</v>
      </c>
      <c r="D105" s="248">
        <f t="shared" ref="D105:N105" si="1">D5*D55</f>
        <v>0</v>
      </c>
      <c r="E105" s="248">
        <f t="shared" si="1"/>
        <v>0</v>
      </c>
      <c r="F105" s="248">
        <f t="shared" si="1"/>
        <v>0</v>
      </c>
      <c r="G105" s="248">
        <f t="shared" si="1"/>
        <v>0</v>
      </c>
      <c r="H105" s="248">
        <f t="shared" si="1"/>
        <v>23036.399999999998</v>
      </c>
      <c r="I105" s="248">
        <f t="shared" si="1"/>
        <v>15357.6</v>
      </c>
      <c r="J105" s="248">
        <f t="shared" si="1"/>
        <v>38394</v>
      </c>
      <c r="K105" s="248">
        <f t="shared" si="1"/>
        <v>0</v>
      </c>
      <c r="L105" s="248">
        <f t="shared" si="1"/>
        <v>0</v>
      </c>
      <c r="M105" s="248">
        <f t="shared" si="1"/>
        <v>0</v>
      </c>
      <c r="N105" s="248">
        <f t="shared" si="1"/>
        <v>0</v>
      </c>
    </row>
    <row r="106" spans="1:20">
      <c r="A106" s="1116"/>
      <c r="B106" s="248" t="str">
        <f>'Master Assumptions'!B116</f>
        <v>Early sona</v>
      </c>
      <c r="C106" s="248">
        <f t="shared" ref="C106:N106" si="2">C6*C56</f>
        <v>0</v>
      </c>
      <c r="D106" s="248">
        <f t="shared" si="2"/>
        <v>0</v>
      </c>
      <c r="E106" s="248">
        <f t="shared" si="2"/>
        <v>0</v>
      </c>
      <c r="F106" s="248">
        <f t="shared" si="2"/>
        <v>0</v>
      </c>
      <c r="G106" s="248">
        <f t="shared" si="2"/>
        <v>88074</v>
      </c>
      <c r="H106" s="248">
        <f t="shared" si="2"/>
        <v>52844.399999999994</v>
      </c>
      <c r="I106" s="248">
        <f t="shared" si="2"/>
        <v>35229.600000000006</v>
      </c>
      <c r="J106" s="248">
        <f t="shared" si="2"/>
        <v>0</v>
      </c>
      <c r="K106" s="248">
        <f t="shared" si="2"/>
        <v>0</v>
      </c>
      <c r="L106" s="248">
        <f t="shared" si="2"/>
        <v>0</v>
      </c>
      <c r="M106" s="248">
        <f t="shared" si="2"/>
        <v>0</v>
      </c>
      <c r="N106" s="248">
        <f t="shared" si="2"/>
        <v>0</v>
      </c>
    </row>
    <row r="107" spans="1:20">
      <c r="A107" s="1116"/>
      <c r="B107" s="636">
        <f>'Master Assumptions'!B117</f>
        <v>1010</v>
      </c>
      <c r="C107" s="248">
        <f t="shared" ref="C107:N107" si="3">C7*C57</f>
        <v>0</v>
      </c>
      <c r="D107" s="248">
        <f t="shared" si="3"/>
        <v>0</v>
      </c>
      <c r="E107" s="248">
        <f t="shared" si="3"/>
        <v>0</v>
      </c>
      <c r="F107" s="248">
        <f t="shared" si="3"/>
        <v>0</v>
      </c>
      <c r="G107" s="248">
        <f t="shared" si="3"/>
        <v>0</v>
      </c>
      <c r="H107" s="248">
        <f t="shared" si="3"/>
        <v>0</v>
      </c>
      <c r="I107" s="248">
        <f t="shared" si="3"/>
        <v>0</v>
      </c>
      <c r="J107" s="248">
        <f t="shared" si="3"/>
        <v>0</v>
      </c>
      <c r="K107" s="248">
        <f t="shared" si="3"/>
        <v>0</v>
      </c>
      <c r="L107" s="248">
        <f t="shared" si="3"/>
        <v>417200</v>
      </c>
      <c r="M107" s="248">
        <f t="shared" si="3"/>
        <v>59600</v>
      </c>
      <c r="N107" s="248">
        <f t="shared" si="3"/>
        <v>119200</v>
      </c>
    </row>
    <row r="108" spans="1:20">
      <c r="A108" s="1116"/>
      <c r="B108" s="248" t="str">
        <f>'Master Assumptions'!B118</f>
        <v>Bitter gourd</v>
      </c>
      <c r="C108" s="248">
        <f t="shared" ref="C108:N108" si="4">C8*C58</f>
        <v>0</v>
      </c>
      <c r="D108" s="248">
        <f t="shared" si="4"/>
        <v>0</v>
      </c>
      <c r="E108" s="248">
        <f t="shared" si="4"/>
        <v>0</v>
      </c>
      <c r="F108" s="248">
        <f t="shared" si="4"/>
        <v>0</v>
      </c>
      <c r="G108" s="248">
        <f t="shared" si="4"/>
        <v>0</v>
      </c>
      <c r="H108" s="248">
        <f t="shared" si="4"/>
        <v>0</v>
      </c>
      <c r="I108" s="248">
        <f t="shared" si="4"/>
        <v>6585.5999999999995</v>
      </c>
      <c r="J108" s="248">
        <f t="shared" si="4"/>
        <v>940.80000000000007</v>
      </c>
      <c r="K108" s="248">
        <f t="shared" si="4"/>
        <v>1881.6000000000001</v>
      </c>
      <c r="L108" s="248">
        <f t="shared" si="4"/>
        <v>0</v>
      </c>
      <c r="M108" s="248">
        <f t="shared" si="4"/>
        <v>0</v>
      </c>
      <c r="N108" s="248">
        <f t="shared" si="4"/>
        <v>0</v>
      </c>
    </row>
    <row r="109" spans="1:20">
      <c r="A109" s="1116"/>
      <c r="B109" s="248" t="str">
        <f>'Master Assumptions'!B119</f>
        <v>Sponge guord</v>
      </c>
      <c r="C109" s="248">
        <f t="shared" ref="C109:N109" si="5">C9*C59</f>
        <v>199.92000000000002</v>
      </c>
      <c r="D109" s="248">
        <f t="shared" si="5"/>
        <v>299.88</v>
      </c>
      <c r="E109" s="248">
        <f t="shared" si="5"/>
        <v>499.8</v>
      </c>
      <c r="F109" s="248">
        <f t="shared" si="5"/>
        <v>0</v>
      </c>
      <c r="G109" s="248">
        <f t="shared" si="5"/>
        <v>0</v>
      </c>
      <c r="H109" s="248">
        <f t="shared" si="5"/>
        <v>0</v>
      </c>
      <c r="I109" s="248">
        <f t="shared" si="5"/>
        <v>0</v>
      </c>
      <c r="J109" s="248">
        <f t="shared" si="5"/>
        <v>0</v>
      </c>
      <c r="K109" s="248">
        <f t="shared" si="5"/>
        <v>0</v>
      </c>
      <c r="L109" s="248">
        <f t="shared" si="5"/>
        <v>0</v>
      </c>
      <c r="M109" s="248">
        <f t="shared" si="5"/>
        <v>0</v>
      </c>
      <c r="N109" s="248">
        <f t="shared" si="5"/>
        <v>0</v>
      </c>
    </row>
    <row r="110" spans="1:20">
      <c r="A110" s="1116"/>
      <c r="B110" s="248" t="str">
        <f>'Master Assumptions'!B120</f>
        <v>Cow pea</v>
      </c>
      <c r="C110" s="248">
        <f t="shared" ref="C110:N110" si="6">C10*C60</f>
        <v>0</v>
      </c>
      <c r="D110" s="248">
        <f t="shared" si="6"/>
        <v>0</v>
      </c>
      <c r="E110" s="248">
        <f t="shared" si="6"/>
        <v>0</v>
      </c>
      <c r="F110" s="248">
        <f t="shared" si="6"/>
        <v>4536</v>
      </c>
      <c r="G110" s="248">
        <f t="shared" si="6"/>
        <v>3024</v>
      </c>
      <c r="H110" s="248">
        <f t="shared" si="6"/>
        <v>7560</v>
      </c>
      <c r="I110" s="248">
        <f t="shared" si="6"/>
        <v>0</v>
      </c>
      <c r="J110" s="248">
        <f t="shared" si="6"/>
        <v>0</v>
      </c>
      <c r="K110" s="248">
        <f t="shared" si="6"/>
        <v>0</v>
      </c>
      <c r="L110" s="248">
        <f t="shared" si="6"/>
        <v>0</v>
      </c>
      <c r="M110" s="248">
        <f t="shared" si="6"/>
        <v>0</v>
      </c>
      <c r="N110" s="248">
        <f t="shared" si="6"/>
        <v>0</v>
      </c>
      <c r="T110" s="287"/>
    </row>
    <row r="111" spans="1:20">
      <c r="A111" s="1116"/>
      <c r="B111" s="248" t="str">
        <f>'Master Assumptions'!B121</f>
        <v>Lady Finger</v>
      </c>
      <c r="C111" s="248">
        <f t="shared" ref="C111:N111" si="7">C11*C61</f>
        <v>0</v>
      </c>
      <c r="D111" s="248">
        <f t="shared" si="7"/>
        <v>0</v>
      </c>
      <c r="E111" s="248">
        <f t="shared" si="7"/>
        <v>0</v>
      </c>
      <c r="F111" s="248">
        <f t="shared" si="7"/>
        <v>0</v>
      </c>
      <c r="G111" s="248">
        <f t="shared" si="7"/>
        <v>0</v>
      </c>
      <c r="H111" s="248">
        <f t="shared" si="7"/>
        <v>0</v>
      </c>
      <c r="I111" s="248">
        <f t="shared" si="7"/>
        <v>7087.5</v>
      </c>
      <c r="J111" s="248">
        <f t="shared" si="7"/>
        <v>4725</v>
      </c>
      <c r="K111" s="248">
        <f t="shared" si="7"/>
        <v>11812.5</v>
      </c>
      <c r="L111" s="248">
        <f t="shared" si="7"/>
        <v>0</v>
      </c>
      <c r="M111" s="248">
        <f t="shared" si="7"/>
        <v>0</v>
      </c>
      <c r="N111" s="248">
        <f t="shared" si="7"/>
        <v>0</v>
      </c>
    </row>
    <row r="112" spans="1:20">
      <c r="A112" s="1116"/>
      <c r="B112" s="248" t="str">
        <f>'Master Assumptions'!B122</f>
        <v>Brinjal</v>
      </c>
      <c r="C112" s="248">
        <f t="shared" ref="C112:N112" si="8">C12*C62</f>
        <v>0</v>
      </c>
      <c r="D112" s="248">
        <f t="shared" si="8"/>
        <v>0</v>
      </c>
      <c r="E112" s="248">
        <f t="shared" si="8"/>
        <v>0</v>
      </c>
      <c r="F112" s="248">
        <f t="shared" si="8"/>
        <v>275.625</v>
      </c>
      <c r="G112" s="248">
        <f t="shared" si="8"/>
        <v>165.375</v>
      </c>
      <c r="H112" s="248">
        <f t="shared" si="8"/>
        <v>110.25</v>
      </c>
      <c r="I112" s="248">
        <f t="shared" si="8"/>
        <v>0</v>
      </c>
      <c r="J112" s="248">
        <f t="shared" si="8"/>
        <v>0</v>
      </c>
      <c r="K112" s="248">
        <f t="shared" si="8"/>
        <v>0</v>
      </c>
      <c r="L112" s="248">
        <f t="shared" si="8"/>
        <v>0</v>
      </c>
      <c r="M112" s="248">
        <f t="shared" si="8"/>
        <v>0</v>
      </c>
      <c r="N112" s="248">
        <f t="shared" si="8"/>
        <v>0</v>
      </c>
    </row>
    <row r="113" spans="1:14">
      <c r="A113" s="1116"/>
      <c r="B113" s="248" t="str">
        <f>'Master Assumptions'!B123</f>
        <v>Cauliflower</v>
      </c>
      <c r="C113" s="248">
        <f t="shared" ref="C113:N113" si="9">C13*C63</f>
        <v>372.40000000000003</v>
      </c>
      <c r="D113" s="248">
        <f t="shared" si="9"/>
        <v>372.40000000000003</v>
      </c>
      <c r="E113" s="248">
        <f t="shared" si="9"/>
        <v>372.40000000000003</v>
      </c>
      <c r="F113" s="248">
        <f t="shared" si="9"/>
        <v>372.40000000000003</v>
      </c>
      <c r="G113" s="248">
        <f t="shared" si="9"/>
        <v>372.40000000000003</v>
      </c>
      <c r="H113" s="248">
        <f t="shared" si="9"/>
        <v>372.40000000000003</v>
      </c>
      <c r="I113" s="248">
        <f t="shared" si="9"/>
        <v>372.40000000000003</v>
      </c>
      <c r="J113" s="248">
        <f t="shared" si="9"/>
        <v>372.40000000000003</v>
      </c>
      <c r="K113" s="248">
        <f t="shared" si="9"/>
        <v>186.20000000000002</v>
      </c>
      <c r="L113" s="248">
        <f t="shared" si="9"/>
        <v>186.20000000000002</v>
      </c>
      <c r="M113" s="248">
        <f t="shared" si="9"/>
        <v>186.20000000000002</v>
      </c>
      <c r="N113" s="248">
        <f t="shared" si="9"/>
        <v>186.20000000000002</v>
      </c>
    </row>
    <row r="114" spans="1:14">
      <c r="A114" s="1116"/>
      <c r="B114" s="248" t="str">
        <f>'Master Assumptions'!B124</f>
        <v>Green Pea</v>
      </c>
      <c r="C114" s="248">
        <f t="shared" ref="C114:N114" si="10">C14*C64</f>
        <v>90.440000000000012</v>
      </c>
      <c r="D114" s="248">
        <f t="shared" si="10"/>
        <v>90.440000000000012</v>
      </c>
      <c r="E114" s="248">
        <f t="shared" si="10"/>
        <v>90.440000000000012</v>
      </c>
      <c r="F114" s="248">
        <f t="shared" si="10"/>
        <v>90.440000000000012</v>
      </c>
      <c r="G114" s="248">
        <f t="shared" si="10"/>
        <v>90.440000000000012</v>
      </c>
      <c r="H114" s="248">
        <f t="shared" si="10"/>
        <v>90.440000000000012</v>
      </c>
      <c r="I114" s="248">
        <f t="shared" si="10"/>
        <v>90.440000000000012</v>
      </c>
      <c r="J114" s="248">
        <f t="shared" si="10"/>
        <v>90.440000000000012</v>
      </c>
      <c r="K114" s="248">
        <f t="shared" si="10"/>
        <v>45.220000000000006</v>
      </c>
      <c r="L114" s="248">
        <f t="shared" si="10"/>
        <v>45.220000000000006</v>
      </c>
      <c r="M114" s="248">
        <f t="shared" si="10"/>
        <v>45.220000000000006</v>
      </c>
      <c r="N114" s="248">
        <f t="shared" si="10"/>
        <v>45.220000000000006</v>
      </c>
    </row>
    <row r="115" spans="1:14">
      <c r="A115" s="1116"/>
      <c r="B115" s="248" t="str">
        <f>'Master Assumptions'!B125</f>
        <v>Water Melon</v>
      </c>
      <c r="C115" s="248">
        <f t="shared" ref="C115:N115" si="11">C15*C65</f>
        <v>1142.4000000000001</v>
      </c>
      <c r="D115" s="248">
        <f t="shared" si="11"/>
        <v>1142.4000000000001</v>
      </c>
      <c r="E115" s="248">
        <f t="shared" si="11"/>
        <v>1142.4000000000001</v>
      </c>
      <c r="F115" s="248">
        <f t="shared" si="11"/>
        <v>1142.4000000000001</v>
      </c>
      <c r="G115" s="248">
        <f t="shared" si="11"/>
        <v>1142.4000000000001</v>
      </c>
      <c r="H115" s="248">
        <f t="shared" si="11"/>
        <v>1142.4000000000001</v>
      </c>
      <c r="I115" s="248">
        <f t="shared" si="11"/>
        <v>1142.4000000000001</v>
      </c>
      <c r="J115" s="248">
        <f t="shared" si="11"/>
        <v>1142.4000000000001</v>
      </c>
      <c r="K115" s="248">
        <f t="shared" si="11"/>
        <v>571.20000000000005</v>
      </c>
      <c r="L115" s="248">
        <f t="shared" si="11"/>
        <v>571.20000000000005</v>
      </c>
      <c r="M115" s="248">
        <f t="shared" si="11"/>
        <v>571.20000000000005</v>
      </c>
      <c r="N115" s="248">
        <f t="shared" si="11"/>
        <v>571.20000000000005</v>
      </c>
    </row>
    <row r="116" spans="1:14">
      <c r="A116" s="1116"/>
      <c r="B116" s="248" t="str">
        <f>'Master Assumptions'!B126</f>
        <v>Muskmelon</v>
      </c>
      <c r="C116" s="248">
        <f t="shared" ref="C116:N116" si="12">C16*C66</f>
        <v>1535.625</v>
      </c>
      <c r="D116" s="248">
        <f t="shared" si="12"/>
        <v>1535.625</v>
      </c>
      <c r="E116" s="248">
        <f t="shared" si="12"/>
        <v>1535.625</v>
      </c>
      <c r="F116" s="248">
        <f t="shared" si="12"/>
        <v>1535.625</v>
      </c>
      <c r="G116" s="248">
        <f t="shared" si="12"/>
        <v>1535.625</v>
      </c>
      <c r="H116" s="248">
        <f t="shared" si="12"/>
        <v>1535.625</v>
      </c>
      <c r="I116" s="248">
        <f t="shared" si="12"/>
        <v>1535.625</v>
      </c>
      <c r="J116" s="248">
        <f t="shared" si="12"/>
        <v>1535.625</v>
      </c>
      <c r="K116" s="248">
        <f t="shared" si="12"/>
        <v>767.8125</v>
      </c>
      <c r="L116" s="248">
        <f t="shared" si="12"/>
        <v>767.8125</v>
      </c>
      <c r="M116" s="248">
        <f t="shared" si="12"/>
        <v>767.8125</v>
      </c>
      <c r="N116" s="248">
        <f t="shared" si="12"/>
        <v>767.8125</v>
      </c>
    </row>
    <row r="117" spans="1:14">
      <c r="A117" s="1116"/>
      <c r="B117" s="248" t="str">
        <f>'Master Assumptions'!B127</f>
        <v>Bitter gourd</v>
      </c>
      <c r="C117" s="248">
        <f t="shared" ref="C117:N117" si="13">C17*C67</f>
        <v>82.95</v>
      </c>
      <c r="D117" s="248">
        <f t="shared" si="13"/>
        <v>82.95</v>
      </c>
      <c r="E117" s="248">
        <f t="shared" si="13"/>
        <v>82.95</v>
      </c>
      <c r="F117" s="248">
        <f t="shared" si="13"/>
        <v>82.95</v>
      </c>
      <c r="G117" s="248">
        <f t="shared" si="13"/>
        <v>82.95</v>
      </c>
      <c r="H117" s="248">
        <f t="shared" si="13"/>
        <v>82.95</v>
      </c>
      <c r="I117" s="248">
        <f t="shared" si="13"/>
        <v>82.95</v>
      </c>
      <c r="J117" s="248">
        <f t="shared" si="13"/>
        <v>82.95</v>
      </c>
      <c r="K117" s="248">
        <f t="shared" si="13"/>
        <v>41.475000000000001</v>
      </c>
      <c r="L117" s="248">
        <f t="shared" si="13"/>
        <v>41.475000000000001</v>
      </c>
      <c r="M117" s="248">
        <f t="shared" si="13"/>
        <v>41.475000000000001</v>
      </c>
      <c r="N117" s="248">
        <f t="shared" si="13"/>
        <v>41.475000000000001</v>
      </c>
    </row>
    <row r="118" spans="1:14">
      <c r="A118" s="1116"/>
      <c r="B118" s="248" t="str">
        <f>'Master Assumptions'!B128</f>
        <v>Wheat - 1544</v>
      </c>
      <c r="C118" s="248">
        <f t="shared" ref="C118:N118" si="14">C18*C68</f>
        <v>0</v>
      </c>
      <c r="D118" s="248">
        <f t="shared" si="14"/>
        <v>0</v>
      </c>
      <c r="E118" s="248">
        <f t="shared" si="14"/>
        <v>0</v>
      </c>
      <c r="F118" s="248">
        <f t="shared" si="14"/>
        <v>236375.99999999997</v>
      </c>
      <c r="G118" s="248">
        <f t="shared" si="14"/>
        <v>33768</v>
      </c>
      <c r="H118" s="248">
        <f t="shared" si="14"/>
        <v>67536</v>
      </c>
      <c r="I118" s="248">
        <f t="shared" si="14"/>
        <v>0</v>
      </c>
      <c r="J118" s="248">
        <f t="shared" si="14"/>
        <v>0</v>
      </c>
      <c r="K118" s="248">
        <f t="shared" si="14"/>
        <v>0</v>
      </c>
      <c r="L118" s="248">
        <f t="shared" si="14"/>
        <v>0</v>
      </c>
      <c r="M118" s="248">
        <f t="shared" si="14"/>
        <v>0</v>
      </c>
      <c r="N118" s="248">
        <f t="shared" si="14"/>
        <v>0</v>
      </c>
    </row>
    <row r="119" spans="1:14">
      <c r="A119" s="1116"/>
      <c r="B119" s="248" t="str">
        <f>'Master Assumptions'!B129</f>
        <v>Wheat- 273</v>
      </c>
      <c r="C119" s="248">
        <f t="shared" ref="C119:N119" si="15">C19*C69</f>
        <v>0</v>
      </c>
      <c r="D119" s="248">
        <f t="shared" si="15"/>
        <v>0</v>
      </c>
      <c r="E119" s="248">
        <f t="shared" si="15"/>
        <v>0</v>
      </c>
      <c r="F119" s="248">
        <f t="shared" si="15"/>
        <v>0</v>
      </c>
      <c r="G119" s="248">
        <f t="shared" si="15"/>
        <v>0</v>
      </c>
      <c r="H119" s="248">
        <f t="shared" si="15"/>
        <v>117612</v>
      </c>
      <c r="I119" s="248">
        <f t="shared" si="15"/>
        <v>47044.800000000003</v>
      </c>
      <c r="J119" s="248">
        <f t="shared" si="15"/>
        <v>70567.199999999997</v>
      </c>
      <c r="K119" s="248">
        <f t="shared" si="15"/>
        <v>0</v>
      </c>
      <c r="L119" s="248">
        <f t="shared" si="15"/>
        <v>0</v>
      </c>
      <c r="M119" s="248">
        <f t="shared" si="15"/>
        <v>0</v>
      </c>
      <c r="N119" s="248">
        <f t="shared" si="15"/>
        <v>0</v>
      </c>
    </row>
    <row r="120" spans="1:14" ht="16.5" thickBot="1">
      <c r="A120" s="1118"/>
      <c r="B120" s="248" t="str">
        <f>'Master Assumptions'!B130</f>
        <v>Gram - GJ221</v>
      </c>
      <c r="C120" s="248">
        <f t="shared" ref="C120:N120" si="16">C20*C70</f>
        <v>0</v>
      </c>
      <c r="D120" s="248">
        <f t="shared" si="16"/>
        <v>0</v>
      </c>
      <c r="E120" s="248">
        <f t="shared" si="16"/>
        <v>79686</v>
      </c>
      <c r="F120" s="248">
        <f t="shared" si="16"/>
        <v>106248.00000000001</v>
      </c>
      <c r="G120" s="248">
        <f t="shared" si="16"/>
        <v>79686</v>
      </c>
      <c r="H120" s="248">
        <f t="shared" si="16"/>
        <v>0</v>
      </c>
      <c r="I120" s="248">
        <f t="shared" si="16"/>
        <v>0</v>
      </c>
      <c r="J120" s="248">
        <f t="shared" si="16"/>
        <v>0</v>
      </c>
      <c r="K120" s="248">
        <f t="shared" si="16"/>
        <v>0</v>
      </c>
      <c r="L120" s="248">
        <f t="shared" si="16"/>
        <v>0</v>
      </c>
      <c r="M120" s="248">
        <f t="shared" si="16"/>
        <v>0</v>
      </c>
      <c r="N120" s="248">
        <f t="shared" si="16"/>
        <v>0</v>
      </c>
    </row>
    <row r="121" spans="1:14">
      <c r="A121" s="1117" t="s">
        <v>143</v>
      </c>
      <c r="B121" s="248" t="str">
        <f>'Master Assumptions'!B131</f>
        <v>Urea</v>
      </c>
      <c r="C121" s="248">
        <f t="shared" ref="C121:N121" si="17">C21*C71</f>
        <v>12000</v>
      </c>
      <c r="D121" s="248">
        <f t="shared" si="17"/>
        <v>12000</v>
      </c>
      <c r="E121" s="248">
        <f t="shared" si="17"/>
        <v>12000</v>
      </c>
      <c r="F121" s="248">
        <f t="shared" si="17"/>
        <v>12000</v>
      </c>
      <c r="G121" s="248">
        <f t="shared" si="17"/>
        <v>12000</v>
      </c>
      <c r="H121" s="248">
        <f t="shared" si="17"/>
        <v>12000</v>
      </c>
      <c r="I121" s="248">
        <f t="shared" si="17"/>
        <v>12000</v>
      </c>
      <c r="J121" s="248">
        <f t="shared" si="17"/>
        <v>12000</v>
      </c>
      <c r="K121" s="248">
        <f t="shared" si="17"/>
        <v>6000</v>
      </c>
      <c r="L121" s="248">
        <f t="shared" si="17"/>
        <v>6000</v>
      </c>
      <c r="M121" s="248">
        <f t="shared" si="17"/>
        <v>6000</v>
      </c>
      <c r="N121" s="248">
        <f t="shared" si="17"/>
        <v>6000</v>
      </c>
    </row>
    <row r="122" spans="1:14">
      <c r="A122" s="1116"/>
      <c r="B122" s="248" t="str">
        <f>'Master Assumptions'!B132</f>
        <v>DAP</v>
      </c>
      <c r="C122" s="248">
        <f t="shared" ref="C122:N122" si="18">C22*C72</f>
        <v>12000</v>
      </c>
      <c r="D122" s="248">
        <f t="shared" si="18"/>
        <v>12000</v>
      </c>
      <c r="E122" s="248">
        <f t="shared" si="18"/>
        <v>12000</v>
      </c>
      <c r="F122" s="248">
        <f t="shared" si="18"/>
        <v>12000</v>
      </c>
      <c r="G122" s="248">
        <f t="shared" si="18"/>
        <v>12000</v>
      </c>
      <c r="H122" s="248">
        <f t="shared" si="18"/>
        <v>12000</v>
      </c>
      <c r="I122" s="248">
        <f t="shared" si="18"/>
        <v>12000</v>
      </c>
      <c r="J122" s="248">
        <f t="shared" si="18"/>
        <v>12000</v>
      </c>
      <c r="K122" s="248">
        <f t="shared" si="18"/>
        <v>6000</v>
      </c>
      <c r="L122" s="248">
        <f t="shared" si="18"/>
        <v>6000</v>
      </c>
      <c r="M122" s="248">
        <f t="shared" si="18"/>
        <v>6000</v>
      </c>
      <c r="N122" s="248">
        <f t="shared" si="18"/>
        <v>6000</v>
      </c>
    </row>
    <row r="123" spans="1:14">
      <c r="A123" s="1116"/>
      <c r="B123" s="248" t="str">
        <f>'Master Assumptions'!B133</f>
        <v>SSP</v>
      </c>
      <c r="C123" s="248">
        <f t="shared" ref="C123:N123" si="19">C23*C73</f>
        <v>9000</v>
      </c>
      <c r="D123" s="248">
        <f t="shared" si="19"/>
        <v>9000</v>
      </c>
      <c r="E123" s="248">
        <f t="shared" si="19"/>
        <v>9000</v>
      </c>
      <c r="F123" s="248">
        <f t="shared" si="19"/>
        <v>9000</v>
      </c>
      <c r="G123" s="248">
        <f t="shared" si="19"/>
        <v>9000</v>
      </c>
      <c r="H123" s="248">
        <f t="shared" si="19"/>
        <v>9000</v>
      </c>
      <c r="I123" s="248">
        <f t="shared" si="19"/>
        <v>9000</v>
      </c>
      <c r="J123" s="248">
        <f t="shared" si="19"/>
        <v>9000</v>
      </c>
      <c r="K123" s="248">
        <f t="shared" si="19"/>
        <v>4500</v>
      </c>
      <c r="L123" s="248">
        <f t="shared" si="19"/>
        <v>4500</v>
      </c>
      <c r="M123" s="248">
        <f t="shared" si="19"/>
        <v>4500</v>
      </c>
      <c r="N123" s="248">
        <f t="shared" si="19"/>
        <v>4500</v>
      </c>
    </row>
    <row r="124" spans="1:14">
      <c r="A124" s="1116"/>
      <c r="B124" s="248" t="str">
        <f>'Master Assumptions'!B134</f>
        <v>NPK 19 19 19</v>
      </c>
      <c r="C124" s="248">
        <f t="shared" ref="C124:N124" si="20">C24*C74</f>
        <v>148000</v>
      </c>
      <c r="D124" s="248">
        <f t="shared" si="20"/>
        <v>148000</v>
      </c>
      <c r="E124" s="248">
        <f t="shared" si="20"/>
        <v>148000</v>
      </c>
      <c r="F124" s="248">
        <f t="shared" si="20"/>
        <v>148000</v>
      </c>
      <c r="G124" s="248">
        <f t="shared" si="20"/>
        <v>148000</v>
      </c>
      <c r="H124" s="248">
        <f t="shared" si="20"/>
        <v>148000</v>
      </c>
      <c r="I124" s="248">
        <f t="shared" si="20"/>
        <v>148000</v>
      </c>
      <c r="J124" s="248">
        <f t="shared" si="20"/>
        <v>148000</v>
      </c>
      <c r="K124" s="248">
        <f t="shared" si="20"/>
        <v>74000</v>
      </c>
      <c r="L124" s="248">
        <f t="shared" si="20"/>
        <v>74000</v>
      </c>
      <c r="M124" s="248">
        <f t="shared" si="20"/>
        <v>74000</v>
      </c>
      <c r="N124" s="248">
        <f t="shared" si="20"/>
        <v>74000</v>
      </c>
    </row>
    <row r="125" spans="1:14">
      <c r="A125" s="1116"/>
      <c r="B125" s="248" t="str">
        <f>'Master Assumptions'!B135</f>
        <v>12, 61, 0</v>
      </c>
      <c r="C125" s="248">
        <f t="shared" ref="C125:N125" si="21">C25*C75</f>
        <v>129000</v>
      </c>
      <c r="D125" s="248">
        <f t="shared" si="21"/>
        <v>129000</v>
      </c>
      <c r="E125" s="248">
        <f t="shared" si="21"/>
        <v>129000</v>
      </c>
      <c r="F125" s="248">
        <f t="shared" si="21"/>
        <v>129000</v>
      </c>
      <c r="G125" s="248">
        <f t="shared" si="21"/>
        <v>129000</v>
      </c>
      <c r="H125" s="248">
        <f t="shared" si="21"/>
        <v>129000</v>
      </c>
      <c r="I125" s="248">
        <f t="shared" si="21"/>
        <v>129000</v>
      </c>
      <c r="J125" s="248">
        <f t="shared" si="21"/>
        <v>129000</v>
      </c>
      <c r="K125" s="248">
        <f t="shared" si="21"/>
        <v>64500</v>
      </c>
      <c r="L125" s="248">
        <f t="shared" si="21"/>
        <v>64500</v>
      </c>
      <c r="M125" s="248">
        <f t="shared" si="21"/>
        <v>64500</v>
      </c>
      <c r="N125" s="248">
        <f t="shared" si="21"/>
        <v>64500</v>
      </c>
    </row>
    <row r="126" spans="1:14">
      <c r="A126" s="1116"/>
      <c r="B126" s="248" t="str">
        <f>'Master Assumptions'!B136</f>
        <v>13, 0, 45</v>
      </c>
      <c r="C126" s="248">
        <f t="shared" ref="C126:N126" si="22">C26*C76</f>
        <v>129000</v>
      </c>
      <c r="D126" s="248">
        <f t="shared" si="22"/>
        <v>129000</v>
      </c>
      <c r="E126" s="248">
        <f t="shared" si="22"/>
        <v>129000</v>
      </c>
      <c r="F126" s="248">
        <f t="shared" si="22"/>
        <v>129000</v>
      </c>
      <c r="G126" s="248">
        <f t="shared" si="22"/>
        <v>129000</v>
      </c>
      <c r="H126" s="248">
        <f t="shared" si="22"/>
        <v>129000</v>
      </c>
      <c r="I126" s="248">
        <f t="shared" si="22"/>
        <v>129000</v>
      </c>
      <c r="J126" s="248">
        <f t="shared" si="22"/>
        <v>129000</v>
      </c>
      <c r="K126" s="248">
        <f t="shared" si="22"/>
        <v>64500</v>
      </c>
      <c r="L126" s="248">
        <f t="shared" si="22"/>
        <v>64500</v>
      </c>
      <c r="M126" s="248">
        <f t="shared" si="22"/>
        <v>64500</v>
      </c>
      <c r="N126" s="248">
        <f t="shared" si="22"/>
        <v>64500</v>
      </c>
    </row>
    <row r="127" spans="1:14">
      <c r="A127" s="1116"/>
      <c r="B127" s="248" t="str">
        <f>'Master Assumptions'!B137</f>
        <v>Calcium nitrate</v>
      </c>
      <c r="C127" s="248">
        <f t="shared" ref="C127:N127" si="23">C27*C77</f>
        <v>48000</v>
      </c>
      <c r="D127" s="248">
        <f t="shared" si="23"/>
        <v>48000</v>
      </c>
      <c r="E127" s="248">
        <f t="shared" si="23"/>
        <v>48000</v>
      </c>
      <c r="F127" s="248">
        <f t="shared" si="23"/>
        <v>48000</v>
      </c>
      <c r="G127" s="248">
        <f t="shared" si="23"/>
        <v>48000</v>
      </c>
      <c r="H127" s="248">
        <f t="shared" si="23"/>
        <v>48000</v>
      </c>
      <c r="I127" s="248">
        <f t="shared" si="23"/>
        <v>48000</v>
      </c>
      <c r="J127" s="248">
        <f t="shared" si="23"/>
        <v>48000</v>
      </c>
      <c r="K127" s="248">
        <f t="shared" si="23"/>
        <v>24000</v>
      </c>
      <c r="L127" s="248">
        <f t="shared" si="23"/>
        <v>24000</v>
      </c>
      <c r="M127" s="248">
        <f t="shared" si="23"/>
        <v>24000</v>
      </c>
      <c r="N127" s="248">
        <f t="shared" si="23"/>
        <v>24000</v>
      </c>
    </row>
    <row r="128" spans="1:14">
      <c r="A128" s="1116"/>
      <c r="B128" s="248" t="str">
        <f>'Master Assumptions'!B138</f>
        <v>MGSO4</v>
      </c>
      <c r="C128" s="248">
        <f t="shared" ref="C128:N128" si="24">C28*C78</f>
        <v>13000</v>
      </c>
      <c r="D128" s="248">
        <f t="shared" si="24"/>
        <v>13000</v>
      </c>
      <c r="E128" s="248">
        <f t="shared" si="24"/>
        <v>13000</v>
      </c>
      <c r="F128" s="248">
        <f t="shared" si="24"/>
        <v>13000</v>
      </c>
      <c r="G128" s="248">
        <f t="shared" si="24"/>
        <v>13000</v>
      </c>
      <c r="H128" s="248">
        <f t="shared" si="24"/>
        <v>13000</v>
      </c>
      <c r="I128" s="248">
        <f t="shared" si="24"/>
        <v>13000</v>
      </c>
      <c r="J128" s="248">
        <f t="shared" si="24"/>
        <v>13000</v>
      </c>
      <c r="K128" s="248">
        <f t="shared" si="24"/>
        <v>6500</v>
      </c>
      <c r="L128" s="248">
        <f t="shared" si="24"/>
        <v>6500</v>
      </c>
      <c r="M128" s="248">
        <f t="shared" si="24"/>
        <v>6500</v>
      </c>
      <c r="N128" s="248">
        <f t="shared" si="24"/>
        <v>6500</v>
      </c>
    </row>
    <row r="129" spans="1:14">
      <c r="A129" s="1116"/>
      <c r="B129" s="248" t="str">
        <f>'Master Assumptions'!B139</f>
        <v>0 52 34</v>
      </c>
      <c r="C129" s="248">
        <f t="shared" ref="C129:N129" si="25">C29*C79</f>
        <v>150000</v>
      </c>
      <c r="D129" s="248">
        <f t="shared" si="25"/>
        <v>150000</v>
      </c>
      <c r="E129" s="248">
        <f t="shared" si="25"/>
        <v>150000</v>
      </c>
      <c r="F129" s="248">
        <f t="shared" si="25"/>
        <v>150000</v>
      </c>
      <c r="G129" s="248">
        <f t="shared" si="25"/>
        <v>150000</v>
      </c>
      <c r="H129" s="248">
        <f t="shared" si="25"/>
        <v>150000</v>
      </c>
      <c r="I129" s="248">
        <f t="shared" si="25"/>
        <v>150000</v>
      </c>
      <c r="J129" s="248">
        <f t="shared" si="25"/>
        <v>150000</v>
      </c>
      <c r="K129" s="248">
        <f t="shared" si="25"/>
        <v>75000</v>
      </c>
      <c r="L129" s="248">
        <f t="shared" si="25"/>
        <v>75000</v>
      </c>
      <c r="M129" s="248">
        <f t="shared" si="25"/>
        <v>75000</v>
      </c>
      <c r="N129" s="248">
        <f t="shared" si="25"/>
        <v>75000</v>
      </c>
    </row>
    <row r="130" spans="1:14">
      <c r="A130" s="1116"/>
      <c r="B130" s="248" t="str">
        <f>'Master Assumptions'!B140</f>
        <v>13 40 13</v>
      </c>
      <c r="C130" s="248">
        <f t="shared" ref="C130:N130" si="26">C30*C80</f>
        <v>84000</v>
      </c>
      <c r="D130" s="248">
        <f t="shared" si="26"/>
        <v>84000</v>
      </c>
      <c r="E130" s="248">
        <f t="shared" si="26"/>
        <v>84000</v>
      </c>
      <c r="F130" s="248">
        <f t="shared" si="26"/>
        <v>84000</v>
      </c>
      <c r="G130" s="248">
        <f t="shared" si="26"/>
        <v>84000</v>
      </c>
      <c r="H130" s="248">
        <f t="shared" si="26"/>
        <v>84000</v>
      </c>
      <c r="I130" s="248">
        <f t="shared" si="26"/>
        <v>84000</v>
      </c>
      <c r="J130" s="248">
        <f t="shared" si="26"/>
        <v>84000</v>
      </c>
      <c r="K130" s="248">
        <f t="shared" si="26"/>
        <v>42000</v>
      </c>
      <c r="L130" s="248">
        <f t="shared" si="26"/>
        <v>42000</v>
      </c>
      <c r="M130" s="248">
        <f t="shared" si="26"/>
        <v>42000</v>
      </c>
      <c r="N130" s="248">
        <f t="shared" si="26"/>
        <v>42000</v>
      </c>
    </row>
    <row r="131" spans="1:14">
      <c r="A131" s="1116"/>
      <c r="B131" s="248" t="str">
        <f>'Master Assumptions'!B141</f>
        <v>Micro nutrients</v>
      </c>
      <c r="C131" s="248">
        <f t="shared" ref="C131:N131" si="27">C31*C81</f>
        <v>68500</v>
      </c>
      <c r="D131" s="248">
        <f t="shared" si="27"/>
        <v>68500</v>
      </c>
      <c r="E131" s="248">
        <f t="shared" si="27"/>
        <v>68500</v>
      </c>
      <c r="F131" s="248">
        <f t="shared" si="27"/>
        <v>68500</v>
      </c>
      <c r="G131" s="248">
        <f t="shared" si="27"/>
        <v>68500</v>
      </c>
      <c r="H131" s="248">
        <f t="shared" si="27"/>
        <v>68500</v>
      </c>
      <c r="I131" s="248">
        <f t="shared" si="27"/>
        <v>68500</v>
      </c>
      <c r="J131" s="248">
        <f t="shared" si="27"/>
        <v>68500</v>
      </c>
      <c r="K131" s="248">
        <f t="shared" si="27"/>
        <v>34250</v>
      </c>
      <c r="L131" s="248">
        <f t="shared" si="27"/>
        <v>34250</v>
      </c>
      <c r="M131" s="248">
        <f t="shared" si="27"/>
        <v>34250</v>
      </c>
      <c r="N131" s="248">
        <f t="shared" si="27"/>
        <v>34250</v>
      </c>
    </row>
    <row r="132" spans="1:14" ht="16.5" thickBot="1">
      <c r="A132" s="1118"/>
      <c r="B132" s="248" t="str">
        <f>'Master Assumptions'!B142</f>
        <v>Humic acid</v>
      </c>
      <c r="C132" s="248">
        <f t="shared" ref="C132:N132" si="28">C32*C82</f>
        <v>2100</v>
      </c>
      <c r="D132" s="248">
        <f t="shared" si="28"/>
        <v>2100</v>
      </c>
      <c r="E132" s="248">
        <f t="shared" si="28"/>
        <v>2100</v>
      </c>
      <c r="F132" s="248">
        <f t="shared" si="28"/>
        <v>2100</v>
      </c>
      <c r="G132" s="248">
        <f t="shared" si="28"/>
        <v>2100</v>
      </c>
      <c r="H132" s="248">
        <f t="shared" si="28"/>
        <v>2100</v>
      </c>
      <c r="I132" s="248">
        <f t="shared" si="28"/>
        <v>2100</v>
      </c>
      <c r="J132" s="248">
        <f t="shared" si="28"/>
        <v>2100</v>
      </c>
      <c r="K132" s="248">
        <f t="shared" si="28"/>
        <v>1050</v>
      </c>
      <c r="L132" s="248">
        <f t="shared" si="28"/>
        <v>1050</v>
      </c>
      <c r="M132" s="248">
        <f t="shared" si="28"/>
        <v>1050</v>
      </c>
      <c r="N132" s="248">
        <f t="shared" si="28"/>
        <v>1050</v>
      </c>
    </row>
    <row r="133" spans="1:14">
      <c r="A133" s="1117" t="s">
        <v>156</v>
      </c>
      <c r="B133" s="248" t="str">
        <f>'Master Assumptions'!B143</f>
        <v>profenofaas</v>
      </c>
      <c r="C133" s="248">
        <f t="shared" ref="C133:N133" si="29">C33*C83</f>
        <v>1284</v>
      </c>
      <c r="D133" s="248">
        <f t="shared" si="29"/>
        <v>1284</v>
      </c>
      <c r="E133" s="248">
        <f t="shared" si="29"/>
        <v>1284</v>
      </c>
      <c r="F133" s="248">
        <f t="shared" si="29"/>
        <v>1284</v>
      </c>
      <c r="G133" s="248">
        <f t="shared" si="29"/>
        <v>1284</v>
      </c>
      <c r="H133" s="248">
        <f t="shared" si="29"/>
        <v>1284</v>
      </c>
      <c r="I133" s="248">
        <f t="shared" si="29"/>
        <v>1284</v>
      </c>
      <c r="J133" s="248">
        <f t="shared" si="29"/>
        <v>1284</v>
      </c>
      <c r="K133" s="248">
        <f t="shared" si="29"/>
        <v>642</v>
      </c>
      <c r="L133" s="248">
        <f t="shared" si="29"/>
        <v>642</v>
      </c>
      <c r="M133" s="248">
        <f t="shared" si="29"/>
        <v>642</v>
      </c>
      <c r="N133" s="248">
        <f t="shared" si="29"/>
        <v>642</v>
      </c>
    </row>
    <row r="134" spans="1:14">
      <c r="A134" s="1116"/>
      <c r="B134" s="248" t="str">
        <f>'Master Assumptions'!B144</f>
        <v>Cartep</v>
      </c>
      <c r="C134" s="248">
        <f t="shared" ref="C134:N134" si="30">C34*C84</f>
        <v>1339.5</v>
      </c>
      <c r="D134" s="248">
        <f t="shared" si="30"/>
        <v>1339.5</v>
      </c>
      <c r="E134" s="248">
        <f t="shared" si="30"/>
        <v>1339.5</v>
      </c>
      <c r="F134" s="248">
        <f t="shared" si="30"/>
        <v>1339.5</v>
      </c>
      <c r="G134" s="248">
        <f t="shared" si="30"/>
        <v>1339.5</v>
      </c>
      <c r="H134" s="248">
        <f t="shared" si="30"/>
        <v>1339.5</v>
      </c>
      <c r="I134" s="248">
        <f t="shared" si="30"/>
        <v>1339.5</v>
      </c>
      <c r="J134" s="248">
        <f t="shared" si="30"/>
        <v>1339.5</v>
      </c>
      <c r="K134" s="248">
        <f t="shared" si="30"/>
        <v>669.75</v>
      </c>
      <c r="L134" s="248">
        <f t="shared" si="30"/>
        <v>669.75</v>
      </c>
      <c r="M134" s="248">
        <f t="shared" si="30"/>
        <v>669.75</v>
      </c>
      <c r="N134" s="248">
        <f t="shared" si="30"/>
        <v>669.75</v>
      </c>
    </row>
    <row r="135" spans="1:14">
      <c r="A135" s="1116"/>
      <c r="B135" s="248" t="str">
        <f>'Master Assumptions'!B145</f>
        <v>chloropyrofaas</v>
      </c>
      <c r="C135" s="248">
        <f t="shared" ref="C135:N135" si="31">C35*C85</f>
        <v>3780</v>
      </c>
      <c r="D135" s="248">
        <f t="shared" si="31"/>
        <v>3780</v>
      </c>
      <c r="E135" s="248">
        <f t="shared" si="31"/>
        <v>3780</v>
      </c>
      <c r="F135" s="248">
        <f t="shared" si="31"/>
        <v>3780</v>
      </c>
      <c r="G135" s="248">
        <f t="shared" si="31"/>
        <v>3780</v>
      </c>
      <c r="H135" s="248">
        <f t="shared" si="31"/>
        <v>3780</v>
      </c>
      <c r="I135" s="248">
        <f t="shared" si="31"/>
        <v>3780</v>
      </c>
      <c r="J135" s="248">
        <f t="shared" si="31"/>
        <v>3780</v>
      </c>
      <c r="K135" s="248">
        <f t="shared" si="31"/>
        <v>1890</v>
      </c>
      <c r="L135" s="248">
        <f t="shared" si="31"/>
        <v>1890</v>
      </c>
      <c r="M135" s="248">
        <f t="shared" si="31"/>
        <v>1890</v>
      </c>
      <c r="N135" s="248">
        <f t="shared" si="31"/>
        <v>1890</v>
      </c>
    </row>
    <row r="136" spans="1:14">
      <c r="A136" s="1116"/>
      <c r="B136" s="248" t="str">
        <f>'Master Assumptions'!B146</f>
        <v>imamectine</v>
      </c>
      <c r="C136" s="248">
        <f t="shared" ref="C136:N136" si="32">C36*C86</f>
        <v>7087.5</v>
      </c>
      <c r="D136" s="248">
        <f t="shared" si="32"/>
        <v>7087.5</v>
      </c>
      <c r="E136" s="248">
        <f t="shared" si="32"/>
        <v>7087.5</v>
      </c>
      <c r="F136" s="248">
        <f t="shared" si="32"/>
        <v>7087.5</v>
      </c>
      <c r="G136" s="248">
        <f t="shared" si="32"/>
        <v>7087.5</v>
      </c>
      <c r="H136" s="248">
        <f t="shared" si="32"/>
        <v>7087.5</v>
      </c>
      <c r="I136" s="248">
        <f t="shared" si="32"/>
        <v>7087.5</v>
      </c>
      <c r="J136" s="248">
        <f t="shared" si="32"/>
        <v>7087.5</v>
      </c>
      <c r="K136" s="248">
        <f t="shared" si="32"/>
        <v>3543.75</v>
      </c>
      <c r="L136" s="248">
        <f t="shared" si="32"/>
        <v>3543.75</v>
      </c>
      <c r="M136" s="248">
        <f t="shared" si="32"/>
        <v>3543.75</v>
      </c>
      <c r="N136" s="248">
        <f t="shared" si="32"/>
        <v>3543.75</v>
      </c>
    </row>
    <row r="137" spans="1:14">
      <c r="A137" s="1116"/>
      <c r="B137" s="248" t="str">
        <f>'Master Assumptions'!B147</f>
        <v>imida</v>
      </c>
      <c r="C137" s="248">
        <f t="shared" ref="C137:N137" si="33">C37*C87</f>
        <v>4569</v>
      </c>
      <c r="D137" s="248">
        <f t="shared" si="33"/>
        <v>4569</v>
      </c>
      <c r="E137" s="248">
        <f t="shared" si="33"/>
        <v>4569</v>
      </c>
      <c r="F137" s="248">
        <f t="shared" si="33"/>
        <v>4569</v>
      </c>
      <c r="G137" s="248">
        <f t="shared" si="33"/>
        <v>4569</v>
      </c>
      <c r="H137" s="248">
        <f t="shared" si="33"/>
        <v>4569</v>
      </c>
      <c r="I137" s="248">
        <f t="shared" si="33"/>
        <v>4569</v>
      </c>
      <c r="J137" s="248">
        <f t="shared" si="33"/>
        <v>4569</v>
      </c>
      <c r="K137" s="248">
        <f t="shared" si="33"/>
        <v>2284.5</v>
      </c>
      <c r="L137" s="248">
        <f t="shared" si="33"/>
        <v>2284.5</v>
      </c>
      <c r="M137" s="248">
        <f t="shared" si="33"/>
        <v>2284.5</v>
      </c>
      <c r="N137" s="248">
        <f t="shared" si="33"/>
        <v>2284.5</v>
      </c>
    </row>
    <row r="138" spans="1:14">
      <c r="A138" s="1116"/>
      <c r="B138" s="248" t="str">
        <f>'Master Assumptions'!B148</f>
        <v>thimomathaxom</v>
      </c>
      <c r="C138" s="248">
        <f t="shared" ref="C138:N138" si="34">C38*C88</f>
        <v>4726</v>
      </c>
      <c r="D138" s="248">
        <f t="shared" si="34"/>
        <v>4726</v>
      </c>
      <c r="E138" s="248">
        <f t="shared" si="34"/>
        <v>4726</v>
      </c>
      <c r="F138" s="248">
        <f t="shared" si="34"/>
        <v>4726</v>
      </c>
      <c r="G138" s="248">
        <f t="shared" si="34"/>
        <v>4726</v>
      </c>
      <c r="H138" s="248">
        <f t="shared" si="34"/>
        <v>4726</v>
      </c>
      <c r="I138" s="248">
        <f t="shared" si="34"/>
        <v>4726</v>
      </c>
      <c r="J138" s="248">
        <f t="shared" si="34"/>
        <v>4726</v>
      </c>
      <c r="K138" s="248">
        <f t="shared" si="34"/>
        <v>2363</v>
      </c>
      <c r="L138" s="248">
        <f t="shared" si="34"/>
        <v>2363</v>
      </c>
      <c r="M138" s="248">
        <f t="shared" si="34"/>
        <v>2363</v>
      </c>
      <c r="N138" s="248">
        <f t="shared" si="34"/>
        <v>2363</v>
      </c>
    </row>
    <row r="139" spans="1:14">
      <c r="A139" s="1116"/>
      <c r="B139" s="248" t="str">
        <f>'Master Assumptions'!B149</f>
        <v>acifate</v>
      </c>
      <c r="C139" s="248">
        <f t="shared" ref="C139:N139" si="35">C39*C89</f>
        <v>3150</v>
      </c>
      <c r="D139" s="248">
        <f t="shared" si="35"/>
        <v>3150</v>
      </c>
      <c r="E139" s="248">
        <f t="shared" si="35"/>
        <v>3150</v>
      </c>
      <c r="F139" s="248">
        <f t="shared" si="35"/>
        <v>3150</v>
      </c>
      <c r="G139" s="248">
        <f t="shared" si="35"/>
        <v>3150</v>
      </c>
      <c r="H139" s="248">
        <f t="shared" si="35"/>
        <v>3150</v>
      </c>
      <c r="I139" s="248">
        <f t="shared" si="35"/>
        <v>3150</v>
      </c>
      <c r="J139" s="248">
        <f t="shared" si="35"/>
        <v>3150</v>
      </c>
      <c r="K139" s="248">
        <f t="shared" si="35"/>
        <v>1575</v>
      </c>
      <c r="L139" s="248">
        <f t="shared" si="35"/>
        <v>1575</v>
      </c>
      <c r="M139" s="248">
        <f t="shared" si="35"/>
        <v>1575</v>
      </c>
      <c r="N139" s="248">
        <f t="shared" si="35"/>
        <v>1575</v>
      </c>
    </row>
    <row r="140" spans="1:14" ht="16.5" thickBot="1">
      <c r="A140" s="1118"/>
      <c r="B140" s="248" t="str">
        <f>'Master Assumptions'!B150</f>
        <v>Cypermathene</v>
      </c>
      <c r="C140" s="248">
        <f t="shared" ref="C140:N140" si="36">C40*C90</f>
        <v>1260</v>
      </c>
      <c r="D140" s="248">
        <f t="shared" si="36"/>
        <v>1260</v>
      </c>
      <c r="E140" s="248">
        <f t="shared" si="36"/>
        <v>1260</v>
      </c>
      <c r="F140" s="248">
        <f t="shared" si="36"/>
        <v>1260</v>
      </c>
      <c r="G140" s="248">
        <f t="shared" si="36"/>
        <v>1260</v>
      </c>
      <c r="H140" s="248">
        <f t="shared" si="36"/>
        <v>1260</v>
      </c>
      <c r="I140" s="248">
        <f t="shared" si="36"/>
        <v>1260</v>
      </c>
      <c r="J140" s="248">
        <f t="shared" si="36"/>
        <v>1260</v>
      </c>
      <c r="K140" s="248">
        <f t="shared" si="36"/>
        <v>630</v>
      </c>
      <c r="L140" s="248">
        <f t="shared" si="36"/>
        <v>630</v>
      </c>
      <c r="M140" s="248">
        <f t="shared" si="36"/>
        <v>630</v>
      </c>
      <c r="N140" s="248">
        <f t="shared" si="36"/>
        <v>630</v>
      </c>
    </row>
    <row r="141" spans="1:14">
      <c r="A141" s="1117" t="s">
        <v>165</v>
      </c>
      <c r="B141" s="248" t="str">
        <f>'Master Assumptions'!B151</f>
        <v>Avancergold</v>
      </c>
      <c r="C141" s="248">
        <f t="shared" ref="C141:N141" si="37">C41*C91</f>
        <v>2794</v>
      </c>
      <c r="D141" s="248">
        <f t="shared" si="37"/>
        <v>2794</v>
      </c>
      <c r="E141" s="248">
        <f t="shared" si="37"/>
        <v>2794</v>
      </c>
      <c r="F141" s="248">
        <f t="shared" si="37"/>
        <v>2794</v>
      </c>
      <c r="G141" s="248">
        <f t="shared" si="37"/>
        <v>2794</v>
      </c>
      <c r="H141" s="248">
        <f t="shared" si="37"/>
        <v>2794</v>
      </c>
      <c r="I141" s="248">
        <f t="shared" si="37"/>
        <v>2794</v>
      </c>
      <c r="J141" s="248">
        <f t="shared" si="37"/>
        <v>2794</v>
      </c>
      <c r="K141" s="248">
        <f t="shared" si="37"/>
        <v>1397</v>
      </c>
      <c r="L141" s="248">
        <f t="shared" si="37"/>
        <v>1397</v>
      </c>
      <c r="M141" s="248">
        <f t="shared" si="37"/>
        <v>1397</v>
      </c>
      <c r="N141" s="248">
        <f t="shared" si="37"/>
        <v>1397</v>
      </c>
    </row>
    <row r="142" spans="1:14">
      <c r="A142" s="1116"/>
      <c r="B142" s="248" t="str">
        <f>'Master Assumptions'!B152</f>
        <v>Provex</v>
      </c>
      <c r="C142" s="248">
        <f t="shared" ref="C142:N142" si="38">C42*C92</f>
        <v>814</v>
      </c>
      <c r="D142" s="248">
        <f t="shared" si="38"/>
        <v>814</v>
      </c>
      <c r="E142" s="248">
        <f t="shared" si="38"/>
        <v>814</v>
      </c>
      <c r="F142" s="248">
        <f t="shared" si="38"/>
        <v>814</v>
      </c>
      <c r="G142" s="248">
        <f t="shared" si="38"/>
        <v>814</v>
      </c>
      <c r="H142" s="248">
        <f t="shared" si="38"/>
        <v>814</v>
      </c>
      <c r="I142" s="248">
        <f t="shared" si="38"/>
        <v>814</v>
      </c>
      <c r="J142" s="248">
        <f t="shared" si="38"/>
        <v>814</v>
      </c>
      <c r="K142" s="248">
        <f t="shared" si="38"/>
        <v>407</v>
      </c>
      <c r="L142" s="248">
        <f t="shared" si="38"/>
        <v>407</v>
      </c>
      <c r="M142" s="248">
        <f t="shared" si="38"/>
        <v>407</v>
      </c>
      <c r="N142" s="248">
        <f t="shared" si="38"/>
        <v>407</v>
      </c>
    </row>
    <row r="143" spans="1:14">
      <c r="A143" s="1116"/>
      <c r="B143" s="248" t="str">
        <f>'Master Assumptions'!B153</f>
        <v>Quprofix</v>
      </c>
      <c r="C143" s="248">
        <f t="shared" ref="C143:N143" si="39">C43*C93</f>
        <v>2835</v>
      </c>
      <c r="D143" s="248">
        <f t="shared" si="39"/>
        <v>2835</v>
      </c>
      <c r="E143" s="248">
        <f t="shared" si="39"/>
        <v>2835</v>
      </c>
      <c r="F143" s="248">
        <f t="shared" si="39"/>
        <v>2835</v>
      </c>
      <c r="G143" s="248">
        <f t="shared" si="39"/>
        <v>2835</v>
      </c>
      <c r="H143" s="248">
        <f t="shared" si="39"/>
        <v>2835</v>
      </c>
      <c r="I143" s="248">
        <f t="shared" si="39"/>
        <v>2835</v>
      </c>
      <c r="J143" s="248">
        <f t="shared" si="39"/>
        <v>2835</v>
      </c>
      <c r="K143" s="248">
        <f t="shared" si="39"/>
        <v>1417.5</v>
      </c>
      <c r="L143" s="248">
        <f t="shared" si="39"/>
        <v>1417.5</v>
      </c>
      <c r="M143" s="248">
        <f t="shared" si="39"/>
        <v>1417.5</v>
      </c>
      <c r="N143" s="248">
        <f t="shared" si="39"/>
        <v>1417.5</v>
      </c>
    </row>
    <row r="144" spans="1:14">
      <c r="A144" s="1116"/>
      <c r="B144" s="248" t="str">
        <f>'Master Assumptions'!B154</f>
        <v>Ranman</v>
      </c>
      <c r="C144" s="248">
        <f t="shared" ref="C144:N144" si="40">C44*C94</f>
        <v>10500</v>
      </c>
      <c r="D144" s="248">
        <f t="shared" si="40"/>
        <v>10500</v>
      </c>
      <c r="E144" s="248">
        <f t="shared" si="40"/>
        <v>10500</v>
      </c>
      <c r="F144" s="248">
        <f t="shared" si="40"/>
        <v>10500</v>
      </c>
      <c r="G144" s="248">
        <f t="shared" si="40"/>
        <v>10500</v>
      </c>
      <c r="H144" s="248">
        <f t="shared" si="40"/>
        <v>10500</v>
      </c>
      <c r="I144" s="248">
        <f t="shared" si="40"/>
        <v>10500</v>
      </c>
      <c r="J144" s="248">
        <f t="shared" si="40"/>
        <v>10500</v>
      </c>
      <c r="K144" s="248">
        <f t="shared" si="40"/>
        <v>5250</v>
      </c>
      <c r="L144" s="248">
        <f t="shared" si="40"/>
        <v>5250</v>
      </c>
      <c r="M144" s="248">
        <f t="shared" si="40"/>
        <v>5250</v>
      </c>
      <c r="N144" s="248">
        <f t="shared" si="40"/>
        <v>5250</v>
      </c>
    </row>
    <row r="145" spans="1:14" ht="16.5" thickBot="1">
      <c r="A145" s="1118"/>
      <c r="B145" s="248" t="str">
        <f>'Master Assumptions'!B155</f>
        <v>Copper Oxichloride</v>
      </c>
      <c r="C145" s="248">
        <f t="shared" ref="C145:N145" si="41">C45*C95</f>
        <v>1260</v>
      </c>
      <c r="D145" s="248">
        <f t="shared" si="41"/>
        <v>1260</v>
      </c>
      <c r="E145" s="248">
        <f t="shared" si="41"/>
        <v>1260</v>
      </c>
      <c r="F145" s="248">
        <f t="shared" si="41"/>
        <v>1260</v>
      </c>
      <c r="G145" s="248">
        <f t="shared" si="41"/>
        <v>1260</v>
      </c>
      <c r="H145" s="248">
        <f t="shared" si="41"/>
        <v>1260</v>
      </c>
      <c r="I145" s="248">
        <f t="shared" si="41"/>
        <v>1260</v>
      </c>
      <c r="J145" s="248">
        <f t="shared" si="41"/>
        <v>1260</v>
      </c>
      <c r="K145" s="248">
        <f t="shared" si="41"/>
        <v>630</v>
      </c>
      <c r="L145" s="248">
        <f t="shared" si="41"/>
        <v>630</v>
      </c>
      <c r="M145" s="248">
        <f t="shared" si="41"/>
        <v>630</v>
      </c>
      <c r="N145" s="248">
        <f t="shared" si="41"/>
        <v>630</v>
      </c>
    </row>
    <row r="146" spans="1:14">
      <c r="A146" s="1117" t="s">
        <v>249</v>
      </c>
      <c r="B146" s="248" t="str">
        <f>'Master Assumptions'!B156</f>
        <v>Macrena</v>
      </c>
      <c r="C146" s="248">
        <f t="shared" ref="C146:N146" si="42">C46*C96</f>
        <v>265</v>
      </c>
      <c r="D146" s="248">
        <f t="shared" si="42"/>
        <v>265</v>
      </c>
      <c r="E146" s="248">
        <f t="shared" si="42"/>
        <v>265</v>
      </c>
      <c r="F146" s="248">
        <f t="shared" si="42"/>
        <v>265</v>
      </c>
      <c r="G146" s="248">
        <f t="shared" si="42"/>
        <v>265</v>
      </c>
      <c r="H146" s="248">
        <f t="shared" si="42"/>
        <v>265</v>
      </c>
      <c r="I146" s="248">
        <f t="shared" si="42"/>
        <v>265</v>
      </c>
      <c r="J146" s="248">
        <f t="shared" si="42"/>
        <v>265</v>
      </c>
      <c r="K146" s="248">
        <f t="shared" si="42"/>
        <v>132.5</v>
      </c>
      <c r="L146" s="248">
        <f t="shared" si="42"/>
        <v>132.5</v>
      </c>
      <c r="M146" s="248">
        <f t="shared" si="42"/>
        <v>132.5</v>
      </c>
      <c r="N146" s="248">
        <f t="shared" si="42"/>
        <v>132.5</v>
      </c>
    </row>
    <row r="147" spans="1:14">
      <c r="A147" s="1116"/>
      <c r="B147" s="248" t="str">
        <f>'Master Assumptions'!B157</f>
        <v>Double power</v>
      </c>
      <c r="C147" s="248">
        <f t="shared" ref="C147:N147" si="43">C47*C97</f>
        <v>265</v>
      </c>
      <c r="D147" s="248">
        <f t="shared" si="43"/>
        <v>265</v>
      </c>
      <c r="E147" s="248">
        <f t="shared" si="43"/>
        <v>265</v>
      </c>
      <c r="F147" s="248">
        <f t="shared" si="43"/>
        <v>265</v>
      </c>
      <c r="G147" s="248">
        <f t="shared" si="43"/>
        <v>265</v>
      </c>
      <c r="H147" s="248">
        <f t="shared" si="43"/>
        <v>265</v>
      </c>
      <c r="I147" s="248">
        <f t="shared" si="43"/>
        <v>265</v>
      </c>
      <c r="J147" s="248">
        <f t="shared" si="43"/>
        <v>265</v>
      </c>
      <c r="K147" s="248">
        <f t="shared" si="43"/>
        <v>132.5</v>
      </c>
      <c r="L147" s="248">
        <f t="shared" si="43"/>
        <v>132.5</v>
      </c>
      <c r="M147" s="248">
        <f t="shared" si="43"/>
        <v>132.5</v>
      </c>
      <c r="N147" s="248">
        <f t="shared" si="43"/>
        <v>132.5</v>
      </c>
    </row>
    <row r="148" spans="1:14">
      <c r="A148" s="1116"/>
      <c r="B148" s="248" t="str">
        <f>'Master Assumptions'!B158</f>
        <v>Reach flow</v>
      </c>
      <c r="C148" s="248">
        <f t="shared" ref="C148:N148" si="44">C48*C98</f>
        <v>96</v>
      </c>
      <c r="D148" s="248">
        <f t="shared" si="44"/>
        <v>96</v>
      </c>
      <c r="E148" s="248">
        <f t="shared" si="44"/>
        <v>96</v>
      </c>
      <c r="F148" s="248">
        <f t="shared" si="44"/>
        <v>96</v>
      </c>
      <c r="G148" s="248">
        <f t="shared" si="44"/>
        <v>96</v>
      </c>
      <c r="H148" s="248">
        <f t="shared" si="44"/>
        <v>96</v>
      </c>
      <c r="I148" s="248">
        <f t="shared" si="44"/>
        <v>96</v>
      </c>
      <c r="J148" s="248">
        <f t="shared" si="44"/>
        <v>96</v>
      </c>
      <c r="K148" s="248">
        <f t="shared" si="44"/>
        <v>48</v>
      </c>
      <c r="L148" s="248">
        <f t="shared" si="44"/>
        <v>48</v>
      </c>
      <c r="M148" s="248">
        <f t="shared" si="44"/>
        <v>48</v>
      </c>
      <c r="N148" s="248">
        <f t="shared" si="44"/>
        <v>48</v>
      </c>
    </row>
    <row r="149" spans="1:14" ht="16.5" thickBot="1">
      <c r="A149" s="1119"/>
      <c r="B149" s="248" t="str">
        <f>'Master Assumptions'!B159</f>
        <v>King Power</v>
      </c>
      <c r="C149" s="248">
        <f t="shared" ref="C149:N149" si="45">C49*C99</f>
        <v>96</v>
      </c>
      <c r="D149" s="248">
        <f t="shared" si="45"/>
        <v>96</v>
      </c>
      <c r="E149" s="248">
        <f t="shared" si="45"/>
        <v>96</v>
      </c>
      <c r="F149" s="248">
        <f t="shared" si="45"/>
        <v>96</v>
      </c>
      <c r="G149" s="248">
        <f t="shared" si="45"/>
        <v>96</v>
      </c>
      <c r="H149" s="248">
        <f t="shared" si="45"/>
        <v>96</v>
      </c>
      <c r="I149" s="248">
        <f t="shared" si="45"/>
        <v>96</v>
      </c>
      <c r="J149" s="248">
        <f t="shared" si="45"/>
        <v>96</v>
      </c>
      <c r="K149" s="248">
        <f t="shared" si="45"/>
        <v>48</v>
      </c>
      <c r="L149" s="248">
        <f t="shared" si="45"/>
        <v>48</v>
      </c>
      <c r="M149" s="248">
        <f t="shared" si="45"/>
        <v>48</v>
      </c>
      <c r="N149" s="248">
        <f t="shared" si="45"/>
        <v>48</v>
      </c>
    </row>
    <row r="150" spans="1:14" ht="16.5" thickBot="1">
      <c r="A150" s="1120" t="s">
        <v>250</v>
      </c>
      <c r="B150" s="1121"/>
      <c r="C150" s="258">
        <f t="shared" ref="C150:N150" si="46">SUM(C104:C149)</f>
        <v>854144.73499999999</v>
      </c>
      <c r="D150" s="259">
        <f t="shared" si="46"/>
        <v>854244.69500000007</v>
      </c>
      <c r="E150" s="259">
        <f t="shared" si="46"/>
        <v>934130.61499999999</v>
      </c>
      <c r="F150" s="259">
        <f t="shared" si="46"/>
        <v>1221212.44</v>
      </c>
      <c r="G150" s="259">
        <f t="shared" si="46"/>
        <v>1088410.19</v>
      </c>
      <c r="H150" s="259">
        <f t="shared" si="46"/>
        <v>1172223.865</v>
      </c>
      <c r="I150" s="259">
        <f t="shared" si="46"/>
        <v>965249.91500000004</v>
      </c>
      <c r="J150" s="259">
        <f t="shared" si="46"/>
        <v>968571.81499999994</v>
      </c>
      <c r="K150" s="259">
        <f t="shared" si="46"/>
        <v>440666.50750000001</v>
      </c>
      <c r="L150" s="259">
        <f t="shared" si="46"/>
        <v>844172.40749999997</v>
      </c>
      <c r="M150" s="259">
        <f t="shared" si="46"/>
        <v>486572.40749999997</v>
      </c>
      <c r="N150" s="260">
        <f t="shared" si="46"/>
        <v>546172.40749999997</v>
      </c>
    </row>
  </sheetData>
  <sheetProtection algorithmName="SHA-512" hashValue="VyPp2Ddp5afe2AZST01I5ZVnpocRuyAku3tzxM5bq3zhxJx+/o0c/jHaDa4AUqy782RMZDn0eGjCAxvdCEjmVA==" saltValue="JI6U3HuFqI9BcbasKbUmzw==" spinCount="100000" sheet="1" objects="1" scenarios="1"/>
  <mergeCells count="25">
    <mergeCell ref="C102:N102"/>
    <mergeCell ref="A52:A53"/>
    <mergeCell ref="B52:B53"/>
    <mergeCell ref="C52:N52"/>
    <mergeCell ref="A54:A70"/>
    <mergeCell ref="A71:A82"/>
    <mergeCell ref="A146:A149"/>
    <mergeCell ref="A150:B150"/>
    <mergeCell ref="A83:A90"/>
    <mergeCell ref="A91:A95"/>
    <mergeCell ref="A96:A99"/>
    <mergeCell ref="A102:A103"/>
    <mergeCell ref="B102:B103"/>
    <mergeCell ref="A33:A40"/>
    <mergeCell ref="A104:A120"/>
    <mergeCell ref="A121:A132"/>
    <mergeCell ref="A133:A140"/>
    <mergeCell ref="A141:A145"/>
    <mergeCell ref="A41:A45"/>
    <mergeCell ref="A46:A49"/>
    <mergeCell ref="A2:A3"/>
    <mergeCell ref="B2:B3"/>
    <mergeCell ref="C2:N2"/>
    <mergeCell ref="A4:A20"/>
    <mergeCell ref="A21:A32"/>
  </mergeCells>
  <phoneticPr fontId="58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6FE89-A62C-4390-BE7D-C2E2069D45D3}">
  <dimension ref="A2:N87"/>
  <sheetViews>
    <sheetView topLeftCell="A82" workbookViewId="0">
      <selection activeCell="A66" sqref="A66"/>
    </sheetView>
  </sheetViews>
  <sheetFormatPr defaultRowHeight="15.75"/>
  <cols>
    <col min="1" max="2" width="17.5703125" style="241" customWidth="1"/>
    <col min="3" max="7" width="14.5703125" style="241" bestFit="1" customWidth="1"/>
    <col min="8" max="8" width="16.28515625" style="241" bestFit="1" customWidth="1"/>
    <col min="9" max="10" width="14.5703125" style="241" bestFit="1" customWidth="1"/>
    <col min="11" max="11" width="13.42578125" style="241" bestFit="1" customWidth="1"/>
    <col min="12" max="12" width="16.28515625" style="241" bestFit="1" customWidth="1"/>
    <col min="13" max="13" width="14.5703125" style="241" bestFit="1" customWidth="1"/>
    <col min="14" max="14" width="16.28515625" style="241" bestFit="1" customWidth="1"/>
    <col min="15" max="16384" width="9.140625" style="241"/>
  </cols>
  <sheetData>
    <row r="2" spans="1:14" ht="16.5" thickBot="1"/>
    <row r="3" spans="1:14" ht="16.5" thickBot="1">
      <c r="A3" s="1108" t="s">
        <v>248</v>
      </c>
      <c r="B3" s="1110" t="s">
        <v>119</v>
      </c>
      <c r="C3" s="1112" t="s">
        <v>126</v>
      </c>
      <c r="D3" s="1113"/>
      <c r="E3" s="1113"/>
      <c r="F3" s="1113"/>
      <c r="G3" s="1113"/>
      <c r="H3" s="1113"/>
      <c r="I3" s="1113"/>
      <c r="J3" s="1113"/>
      <c r="K3" s="1113"/>
      <c r="L3" s="1113"/>
      <c r="M3" s="1113"/>
      <c r="N3" s="1114"/>
    </row>
    <row r="4" spans="1:14" ht="16.5" thickBot="1">
      <c r="A4" s="1109"/>
      <c r="B4" s="1131"/>
      <c r="C4" s="261">
        <v>44652</v>
      </c>
      <c r="D4" s="255">
        <v>44682</v>
      </c>
      <c r="E4" s="261">
        <v>44713</v>
      </c>
      <c r="F4" s="255">
        <v>44743</v>
      </c>
      <c r="G4" s="261">
        <v>44774</v>
      </c>
      <c r="H4" s="255">
        <v>44805</v>
      </c>
      <c r="I4" s="261">
        <v>44835</v>
      </c>
      <c r="J4" s="255">
        <v>44866</v>
      </c>
      <c r="K4" s="261">
        <v>44896</v>
      </c>
      <c r="L4" s="255">
        <v>44927</v>
      </c>
      <c r="M4" s="261">
        <v>44958</v>
      </c>
      <c r="N4" s="255">
        <v>44986</v>
      </c>
    </row>
    <row r="5" spans="1:14">
      <c r="A5" s="1132" t="s">
        <v>124</v>
      </c>
      <c r="B5" s="242" t="str">
        <f>'Master Assumptions'!B218</f>
        <v>Basmati</v>
      </c>
      <c r="C5" s="249">
        <f>'Master Assumptions'!$E$70*'Master Assumptions'!C218</f>
        <v>0</v>
      </c>
      <c r="D5" s="249">
        <f>'Master Assumptions'!$E$70*'Master Assumptions'!D218</f>
        <v>0</v>
      </c>
      <c r="E5" s="249">
        <f>'Master Assumptions'!$E$70*'Master Assumptions'!E218</f>
        <v>0</v>
      </c>
      <c r="F5" s="249">
        <f>'Master Assumptions'!$E$70*'Master Assumptions'!F218</f>
        <v>21440</v>
      </c>
      <c r="G5" s="249">
        <f>'Master Assumptions'!$E$70*'Master Assumptions'!G218</f>
        <v>32160</v>
      </c>
      <c r="H5" s="249">
        <f>'Master Assumptions'!$E$70*'Master Assumptions'!H218</f>
        <v>53600</v>
      </c>
      <c r="I5" s="249">
        <f>'Master Assumptions'!$E$70*'Master Assumptions'!I218</f>
        <v>0</v>
      </c>
      <c r="J5" s="249">
        <f>'Master Assumptions'!$E$70*'Master Assumptions'!J218</f>
        <v>0</v>
      </c>
      <c r="K5" s="249">
        <f>'Master Assumptions'!$E$70*'Master Assumptions'!K218</f>
        <v>0</v>
      </c>
      <c r="L5" s="249">
        <f>'Master Assumptions'!$E$70*'Master Assumptions'!L218</f>
        <v>0</v>
      </c>
      <c r="M5" s="249">
        <f>'Master Assumptions'!$E$70*'Master Assumptions'!M218</f>
        <v>0</v>
      </c>
      <c r="N5" s="250">
        <f>'Master Assumptions'!$E$70*'Master Assumptions'!N218</f>
        <v>0</v>
      </c>
    </row>
    <row r="6" spans="1:14">
      <c r="A6" s="1124"/>
      <c r="B6" s="243" t="str">
        <f>'Master Assumptions'!B219</f>
        <v>Jordaar</v>
      </c>
      <c r="C6" s="242">
        <f>'Master Assumptions'!$F$70*'Master Assumptions'!C219</f>
        <v>0</v>
      </c>
      <c r="D6" s="242">
        <f>'Master Assumptions'!$F$70*'Master Assumptions'!D219</f>
        <v>0</v>
      </c>
      <c r="E6" s="242">
        <f>'Master Assumptions'!$F$70*'Master Assumptions'!E219</f>
        <v>0</v>
      </c>
      <c r="F6" s="242">
        <f>'Master Assumptions'!$F$70*'Master Assumptions'!F219</f>
        <v>0</v>
      </c>
      <c r="G6" s="242">
        <f>'Master Assumptions'!$F$70*'Master Assumptions'!G219</f>
        <v>0</v>
      </c>
      <c r="H6" s="242">
        <f>'Master Assumptions'!$F$70*'Master Assumptions'!H219</f>
        <v>58320</v>
      </c>
      <c r="I6" s="242">
        <f>'Master Assumptions'!$F$70*'Master Assumptions'!I219</f>
        <v>38880</v>
      </c>
      <c r="J6" s="242">
        <f>'Master Assumptions'!$F$70*'Master Assumptions'!J219</f>
        <v>97200</v>
      </c>
      <c r="K6" s="242">
        <f>'Master Assumptions'!$F$70*'Master Assumptions'!K219</f>
        <v>0</v>
      </c>
      <c r="L6" s="242">
        <f>'Master Assumptions'!$F$70*'Master Assumptions'!L219</f>
        <v>0</v>
      </c>
      <c r="M6" s="242">
        <f>'Master Assumptions'!$F$70*'Master Assumptions'!M219</f>
        <v>0</v>
      </c>
      <c r="N6" s="242">
        <f>'Master Assumptions'!$F$70*'Master Assumptions'!N219</f>
        <v>0</v>
      </c>
    </row>
    <row r="7" spans="1:14">
      <c r="A7" s="1124"/>
      <c r="B7" s="243" t="str">
        <f>'Master Assumptions'!B220</f>
        <v>Early sona</v>
      </c>
      <c r="C7" s="242">
        <f>'Master Assumptions'!$G$70*'Master Assumptions'!C220</f>
        <v>0</v>
      </c>
      <c r="D7" s="242">
        <f>'Master Assumptions'!$G$70*'Master Assumptions'!D220</f>
        <v>0</v>
      </c>
      <c r="E7" s="242">
        <f>'Master Assumptions'!$G$70*'Master Assumptions'!E220</f>
        <v>0</v>
      </c>
      <c r="F7" s="242">
        <f>'Master Assumptions'!$G$70*'Master Assumptions'!F220</f>
        <v>0</v>
      </c>
      <c r="G7" s="242">
        <f>'Master Assumptions'!$G$70*'Master Assumptions'!G220</f>
        <v>139800</v>
      </c>
      <c r="H7" s="242">
        <f>'Master Assumptions'!$G$70*'Master Assumptions'!H220</f>
        <v>83880</v>
      </c>
      <c r="I7" s="242">
        <f>'Master Assumptions'!$G$70*'Master Assumptions'!I220</f>
        <v>55920</v>
      </c>
      <c r="J7" s="242">
        <f>'Master Assumptions'!$G$70*'Master Assumptions'!J220</f>
        <v>0</v>
      </c>
      <c r="K7" s="242">
        <f>'Master Assumptions'!$G$70*'Master Assumptions'!K220</f>
        <v>0</v>
      </c>
      <c r="L7" s="242">
        <f>'Master Assumptions'!$G$70*'Master Assumptions'!L220</f>
        <v>0</v>
      </c>
      <c r="M7" s="242">
        <f>'Master Assumptions'!$G$70*'Master Assumptions'!M220</f>
        <v>0</v>
      </c>
      <c r="N7" s="251">
        <f>'Master Assumptions'!$G$70*'Master Assumptions'!N220</f>
        <v>0</v>
      </c>
    </row>
    <row r="8" spans="1:14">
      <c r="A8" s="1115"/>
      <c r="B8" s="243">
        <f>'Master Assumptions'!B221</f>
        <v>1010</v>
      </c>
      <c r="C8" s="242">
        <f>'Master Assumptions'!$H$70*'Master Assumptions'!C221</f>
        <v>0</v>
      </c>
      <c r="D8" s="242">
        <f>'Master Assumptions'!$H$70*'Master Assumptions'!D221</f>
        <v>0</v>
      </c>
      <c r="E8" s="242">
        <f>'Master Assumptions'!$H$70*'Master Assumptions'!E221</f>
        <v>0</v>
      </c>
      <c r="F8" s="242">
        <f>'Master Assumptions'!$H$70*'Master Assumptions'!F221</f>
        <v>0</v>
      </c>
      <c r="G8" s="242">
        <f>'Master Assumptions'!$H$70*'Master Assumptions'!G221</f>
        <v>0</v>
      </c>
      <c r="H8" s="242">
        <f>'Master Assumptions'!$H$70*'Master Assumptions'!H221</f>
        <v>0</v>
      </c>
      <c r="I8" s="242">
        <f>'Master Assumptions'!$H$70*'Master Assumptions'!I221</f>
        <v>0</v>
      </c>
      <c r="J8" s="242">
        <f>'Master Assumptions'!$H$70*'Master Assumptions'!J221</f>
        <v>0</v>
      </c>
      <c r="K8" s="242">
        <f>'Master Assumptions'!$H$70*'Master Assumptions'!K221</f>
        <v>0</v>
      </c>
      <c r="L8" s="242">
        <f>'Master Assumptions'!$H$70*'Master Assumptions'!L221</f>
        <v>417200</v>
      </c>
      <c r="M8" s="242">
        <f>'Master Assumptions'!$H$70*'Master Assumptions'!M221</f>
        <v>59600</v>
      </c>
      <c r="N8" s="251">
        <f>'Master Assumptions'!$H$70*'Master Assumptions'!N221</f>
        <v>119200</v>
      </c>
    </row>
    <row r="9" spans="1:14">
      <c r="A9" s="1119" t="s">
        <v>180</v>
      </c>
      <c r="B9" s="243" t="str">
        <f>'Master Assumptions'!B222</f>
        <v>Bitter gourd</v>
      </c>
      <c r="C9" s="242">
        <f>'Master Assumptions'!$J$70*'Master Assumptions'!C222</f>
        <v>8960</v>
      </c>
      <c r="D9" s="242">
        <f>'Master Assumptions'!$J$70*'Master Assumptions'!D222</f>
        <v>8960</v>
      </c>
      <c r="E9" s="242">
        <f>'Master Assumptions'!$J$70*'Master Assumptions'!E222</f>
        <v>8960</v>
      </c>
      <c r="F9" s="242">
        <f>'Master Assumptions'!$J$70*'Master Assumptions'!F222</f>
        <v>8960</v>
      </c>
      <c r="G9" s="242">
        <f>'Master Assumptions'!$J$70*'Master Assumptions'!G222</f>
        <v>8960</v>
      </c>
      <c r="H9" s="242">
        <f>'Master Assumptions'!$J$70*'Master Assumptions'!H222</f>
        <v>8960</v>
      </c>
      <c r="I9" s="242">
        <f>'Master Assumptions'!$J$70*'Master Assumptions'!I222</f>
        <v>8960</v>
      </c>
      <c r="J9" s="242">
        <f>'Master Assumptions'!$J$70*'Master Assumptions'!J222</f>
        <v>8960</v>
      </c>
      <c r="K9" s="242">
        <f>'Master Assumptions'!$J$70*'Master Assumptions'!K222</f>
        <v>4480</v>
      </c>
      <c r="L9" s="242">
        <f>'Master Assumptions'!$J$70*'Master Assumptions'!L222</f>
        <v>4480</v>
      </c>
      <c r="M9" s="242">
        <f>'Master Assumptions'!$J$70*'Master Assumptions'!M222</f>
        <v>4480</v>
      </c>
      <c r="N9" s="251">
        <f>'Master Assumptions'!$J$70*'Master Assumptions'!N222</f>
        <v>4480</v>
      </c>
    </row>
    <row r="10" spans="1:14">
      <c r="A10" s="1124"/>
      <c r="B10" s="243" t="str">
        <f>'Master Assumptions'!B223</f>
        <v>Sponge guord</v>
      </c>
      <c r="C10" s="242">
        <f>'Master Assumptions'!$K$70*'Master Assumptions'!C223</f>
        <v>3136</v>
      </c>
      <c r="D10" s="242">
        <f>'Master Assumptions'!$K$70*'Master Assumptions'!D223</f>
        <v>3136</v>
      </c>
      <c r="E10" s="242">
        <f>'Master Assumptions'!$K$70*'Master Assumptions'!E223</f>
        <v>3136</v>
      </c>
      <c r="F10" s="242">
        <f>'Master Assumptions'!$K$70*'Master Assumptions'!F223</f>
        <v>3136</v>
      </c>
      <c r="G10" s="242">
        <f>'Master Assumptions'!$K$70*'Master Assumptions'!G223</f>
        <v>3136</v>
      </c>
      <c r="H10" s="242">
        <f>'Master Assumptions'!$K$70*'Master Assumptions'!H223</f>
        <v>3136</v>
      </c>
      <c r="I10" s="242">
        <f>'Master Assumptions'!$K$70*'Master Assumptions'!I223</f>
        <v>3136</v>
      </c>
      <c r="J10" s="242">
        <f>'Master Assumptions'!$K$70*'Master Assumptions'!J223</f>
        <v>3136</v>
      </c>
      <c r="K10" s="242">
        <f>'Master Assumptions'!$K$70*'Master Assumptions'!K223</f>
        <v>1568</v>
      </c>
      <c r="L10" s="242">
        <f>'Master Assumptions'!$K$70*'Master Assumptions'!L223</f>
        <v>1568</v>
      </c>
      <c r="M10" s="242">
        <f>'Master Assumptions'!$K$70*'Master Assumptions'!M223</f>
        <v>1568</v>
      </c>
      <c r="N10" s="251">
        <f>'Master Assumptions'!$K$70*'Master Assumptions'!N223</f>
        <v>1568</v>
      </c>
    </row>
    <row r="11" spans="1:14">
      <c r="A11" s="1124"/>
      <c r="B11" s="243" t="str">
        <f>'Master Assumptions'!B224</f>
        <v>Cow pea</v>
      </c>
      <c r="C11" s="242">
        <f>'Master Assumptions'!$L$70*'Master Assumptions'!C224</f>
        <v>11648</v>
      </c>
      <c r="D11" s="242">
        <f>'Master Assumptions'!$L$70*'Master Assumptions'!D224</f>
        <v>11648</v>
      </c>
      <c r="E11" s="242">
        <f>'Master Assumptions'!$L$70*'Master Assumptions'!E224</f>
        <v>11648</v>
      </c>
      <c r="F11" s="242">
        <f>'Master Assumptions'!$L$70*'Master Assumptions'!F224</f>
        <v>11648</v>
      </c>
      <c r="G11" s="242">
        <f>'Master Assumptions'!$L$70*'Master Assumptions'!G224</f>
        <v>11648</v>
      </c>
      <c r="H11" s="242">
        <f>'Master Assumptions'!$L$70*'Master Assumptions'!H224</f>
        <v>11648</v>
      </c>
      <c r="I11" s="242">
        <f>'Master Assumptions'!$L$70*'Master Assumptions'!I224</f>
        <v>11648</v>
      </c>
      <c r="J11" s="242">
        <f>'Master Assumptions'!$L$70*'Master Assumptions'!J224</f>
        <v>11648</v>
      </c>
      <c r="K11" s="242">
        <f>'Master Assumptions'!$L$70*'Master Assumptions'!K224</f>
        <v>5824</v>
      </c>
      <c r="L11" s="242">
        <f>'Master Assumptions'!$L$70*'Master Assumptions'!L224</f>
        <v>5824</v>
      </c>
      <c r="M11" s="242">
        <f>'Master Assumptions'!$L$70*'Master Assumptions'!M224</f>
        <v>5824</v>
      </c>
      <c r="N11" s="251">
        <f>'Master Assumptions'!$L$70*'Master Assumptions'!N224</f>
        <v>5824</v>
      </c>
    </row>
    <row r="12" spans="1:14">
      <c r="A12" s="1124"/>
      <c r="B12" s="243" t="str">
        <f>'Master Assumptions'!B225</f>
        <v>Green Pea</v>
      </c>
      <c r="C12" s="242">
        <f>'Master Assumptions'!$M$70*'Master Assumptions'!C225</f>
        <v>1962</v>
      </c>
      <c r="D12" s="242">
        <f>'Master Assumptions'!$M$70*'Master Assumptions'!D225</f>
        <v>1962</v>
      </c>
      <c r="E12" s="242">
        <f>'Master Assumptions'!$M$70*'Master Assumptions'!E225</f>
        <v>1962</v>
      </c>
      <c r="F12" s="242">
        <f>'Master Assumptions'!$M$70*'Master Assumptions'!F225</f>
        <v>1962</v>
      </c>
      <c r="G12" s="242">
        <f>'Master Assumptions'!$M$70*'Master Assumptions'!G225</f>
        <v>1962</v>
      </c>
      <c r="H12" s="242">
        <f>'Master Assumptions'!$M$70*'Master Assumptions'!H225</f>
        <v>1962</v>
      </c>
      <c r="I12" s="242">
        <f>'Master Assumptions'!$M$70*'Master Assumptions'!I225</f>
        <v>1962</v>
      </c>
      <c r="J12" s="242">
        <f>'Master Assumptions'!$M$70*'Master Assumptions'!J225</f>
        <v>1962</v>
      </c>
      <c r="K12" s="242">
        <f>'Master Assumptions'!$M$70*'Master Assumptions'!K225</f>
        <v>981</v>
      </c>
      <c r="L12" s="242">
        <f>'Master Assumptions'!$M$70*'Master Assumptions'!L225</f>
        <v>981</v>
      </c>
      <c r="M12" s="242">
        <f>'Master Assumptions'!$M$70*'Master Assumptions'!M225</f>
        <v>981</v>
      </c>
      <c r="N12" s="251">
        <f>'Master Assumptions'!$M$70*'Master Assumptions'!N225</f>
        <v>981</v>
      </c>
    </row>
    <row r="13" spans="1:14">
      <c r="A13" s="1124"/>
      <c r="B13" s="243" t="str">
        <f>'Master Assumptions'!B226</f>
        <v>Cauliflower</v>
      </c>
      <c r="C13" s="242">
        <f>'Master Assumptions'!$N$70*'Master Assumptions'!C226</f>
        <v>12096</v>
      </c>
      <c r="D13" s="242">
        <f>'Master Assumptions'!$N$70*'Master Assumptions'!D226</f>
        <v>12096</v>
      </c>
      <c r="E13" s="242">
        <f>'Master Assumptions'!$N$70*'Master Assumptions'!E226</f>
        <v>12096</v>
      </c>
      <c r="F13" s="242">
        <f>'Master Assumptions'!$N$70*'Master Assumptions'!F226</f>
        <v>12096</v>
      </c>
      <c r="G13" s="242">
        <f>'Master Assumptions'!$N$70*'Master Assumptions'!G226</f>
        <v>12096</v>
      </c>
      <c r="H13" s="242">
        <f>'Master Assumptions'!$N$70*'Master Assumptions'!H226</f>
        <v>12096</v>
      </c>
      <c r="I13" s="242">
        <f>'Master Assumptions'!$N$70*'Master Assumptions'!I226</f>
        <v>12096</v>
      </c>
      <c r="J13" s="242">
        <f>'Master Assumptions'!$N$70*'Master Assumptions'!J226</f>
        <v>12096</v>
      </c>
      <c r="K13" s="242">
        <f>'Master Assumptions'!$N$70*'Master Assumptions'!K226</f>
        <v>6048</v>
      </c>
      <c r="L13" s="242">
        <f>'Master Assumptions'!$N$70*'Master Assumptions'!L226</f>
        <v>6048</v>
      </c>
      <c r="M13" s="242">
        <f>'Master Assumptions'!$N$70*'Master Assumptions'!M226</f>
        <v>6048</v>
      </c>
      <c r="N13" s="251">
        <f>'Master Assumptions'!$N$70*'Master Assumptions'!N226</f>
        <v>6048</v>
      </c>
    </row>
    <row r="14" spans="1:14">
      <c r="A14" s="1124"/>
      <c r="B14" s="243" t="str">
        <f>'Master Assumptions'!B227</f>
        <v>Lady Finger</v>
      </c>
      <c r="C14" s="242">
        <f>'Master Assumptions'!$O$70*'Master Assumptions'!C227</f>
        <v>9945.6</v>
      </c>
      <c r="D14" s="242">
        <f>'Master Assumptions'!$O$70*'Master Assumptions'!D227</f>
        <v>9945.6</v>
      </c>
      <c r="E14" s="242">
        <f>'Master Assumptions'!$O$70*'Master Assumptions'!E227</f>
        <v>9945.6</v>
      </c>
      <c r="F14" s="242">
        <f>'Master Assumptions'!$O$70*'Master Assumptions'!F227</f>
        <v>9945.6</v>
      </c>
      <c r="G14" s="242">
        <f>'Master Assumptions'!$O$70*'Master Assumptions'!G227</f>
        <v>9945.6</v>
      </c>
      <c r="H14" s="242">
        <f>'Master Assumptions'!$O$70*'Master Assumptions'!H227</f>
        <v>9945.6</v>
      </c>
      <c r="I14" s="242">
        <f>'Master Assumptions'!$O$70*'Master Assumptions'!I227</f>
        <v>9945.6</v>
      </c>
      <c r="J14" s="242">
        <f>'Master Assumptions'!$O$70*'Master Assumptions'!J227</f>
        <v>9945.6</v>
      </c>
      <c r="K14" s="242">
        <f>'Master Assumptions'!$O$70*'Master Assumptions'!K227</f>
        <v>4972.8</v>
      </c>
      <c r="L14" s="242">
        <f>'Master Assumptions'!$O$70*'Master Assumptions'!L227</f>
        <v>4972.8</v>
      </c>
      <c r="M14" s="242">
        <f>'Master Assumptions'!$O$70*'Master Assumptions'!M227</f>
        <v>4972.8</v>
      </c>
      <c r="N14" s="251">
        <f>'Master Assumptions'!$O$70*'Master Assumptions'!N227</f>
        <v>4972.8</v>
      </c>
    </row>
    <row r="15" spans="1:14">
      <c r="A15" s="1115"/>
      <c r="B15" s="243" t="str">
        <f>'Master Assumptions'!B228</f>
        <v>Brinjal</v>
      </c>
      <c r="C15" s="242">
        <f>'Master Assumptions'!$P$70*'Master Assumptions'!C228</f>
        <v>3315.2000000000003</v>
      </c>
      <c r="D15" s="242">
        <f>'Master Assumptions'!$P$70*'Master Assumptions'!D228</f>
        <v>3315.2000000000003</v>
      </c>
      <c r="E15" s="242">
        <f>'Master Assumptions'!$P$70*'Master Assumptions'!E228</f>
        <v>3315.2000000000003</v>
      </c>
      <c r="F15" s="242">
        <f>'Master Assumptions'!$P$70*'Master Assumptions'!F228</f>
        <v>3315.2000000000003</v>
      </c>
      <c r="G15" s="242">
        <f>'Master Assumptions'!$P$70*'Master Assumptions'!G228</f>
        <v>3315.2000000000003</v>
      </c>
      <c r="H15" s="242">
        <f>'Master Assumptions'!$P$70*'Master Assumptions'!H228</f>
        <v>3315.2000000000003</v>
      </c>
      <c r="I15" s="242">
        <f>'Master Assumptions'!$P$70*'Master Assumptions'!I228</f>
        <v>3315.2000000000003</v>
      </c>
      <c r="J15" s="242">
        <f>'Master Assumptions'!$P$70*'Master Assumptions'!J228</f>
        <v>3315.2000000000003</v>
      </c>
      <c r="K15" s="242">
        <f>'Master Assumptions'!$P$70*'Master Assumptions'!K228</f>
        <v>1657.6000000000001</v>
      </c>
      <c r="L15" s="242">
        <f>'Master Assumptions'!$P$70*'Master Assumptions'!L228</f>
        <v>1657.6000000000001</v>
      </c>
      <c r="M15" s="242">
        <f>'Master Assumptions'!$P$70*'Master Assumptions'!M228</f>
        <v>1657.6000000000001</v>
      </c>
      <c r="N15" s="251">
        <f>'Master Assumptions'!$P$70*'Master Assumptions'!N228</f>
        <v>1657.6000000000001</v>
      </c>
    </row>
    <row r="16" spans="1:14">
      <c r="A16" s="1119" t="s">
        <v>125</v>
      </c>
      <c r="B16" s="243" t="str">
        <f>'Master Assumptions'!B229</f>
        <v>Wheat - 1544</v>
      </c>
      <c r="C16" s="242">
        <f>'Master Assumptions'!$T$70*'Master Assumptions'!C229</f>
        <v>10720</v>
      </c>
      <c r="D16" s="242">
        <f>'Master Assumptions'!$T$70*'Master Assumptions'!D229</f>
        <v>10720</v>
      </c>
      <c r="E16" s="242">
        <f>'Master Assumptions'!$T$70*'Master Assumptions'!E229</f>
        <v>10720</v>
      </c>
      <c r="F16" s="242">
        <f>'Master Assumptions'!$T$70*'Master Assumptions'!F229</f>
        <v>10720</v>
      </c>
      <c r="G16" s="242">
        <f>'Master Assumptions'!$T$70*'Master Assumptions'!G229</f>
        <v>10720</v>
      </c>
      <c r="H16" s="242">
        <f>'Master Assumptions'!$T$70*'Master Assumptions'!H229</f>
        <v>10720</v>
      </c>
      <c r="I16" s="242">
        <f>'Master Assumptions'!$T$70*'Master Assumptions'!I229</f>
        <v>10720</v>
      </c>
      <c r="J16" s="242">
        <f>'Master Assumptions'!$T$70*'Master Assumptions'!J229</f>
        <v>10720</v>
      </c>
      <c r="K16" s="242">
        <f>'Master Assumptions'!$T$70*'Master Assumptions'!K229</f>
        <v>5360</v>
      </c>
      <c r="L16" s="242">
        <f>'Master Assumptions'!$T$70*'Master Assumptions'!L229</f>
        <v>5360</v>
      </c>
      <c r="M16" s="242">
        <f>'Master Assumptions'!$T$70*'Master Assumptions'!M229</f>
        <v>5360</v>
      </c>
      <c r="N16" s="251">
        <f>'Master Assumptions'!$T$70*'Master Assumptions'!N229</f>
        <v>5360</v>
      </c>
    </row>
    <row r="17" spans="1:14">
      <c r="A17" s="1115"/>
      <c r="B17" s="243" t="str">
        <f>'Master Assumptions'!B230</f>
        <v>Wheat- 273</v>
      </c>
      <c r="C17" s="242">
        <f>'Master Assumptions'!$U$70*'Master Assumptions'!C230</f>
        <v>19440</v>
      </c>
      <c r="D17" s="242">
        <f>'Master Assumptions'!$U$70*'Master Assumptions'!D230</f>
        <v>19440</v>
      </c>
      <c r="E17" s="242">
        <f>'Master Assumptions'!$U$70*'Master Assumptions'!E230</f>
        <v>19440</v>
      </c>
      <c r="F17" s="242">
        <f>'Master Assumptions'!$U$70*'Master Assumptions'!F230</f>
        <v>19440</v>
      </c>
      <c r="G17" s="242">
        <f>'Master Assumptions'!$U$70*'Master Assumptions'!G230</f>
        <v>19440</v>
      </c>
      <c r="H17" s="242">
        <f>'Master Assumptions'!$U$70*'Master Assumptions'!H230</f>
        <v>19440</v>
      </c>
      <c r="I17" s="242">
        <f>'Master Assumptions'!$U$70*'Master Assumptions'!I230</f>
        <v>19440</v>
      </c>
      <c r="J17" s="242">
        <f>'Master Assumptions'!$U$70*'Master Assumptions'!J230</f>
        <v>19440</v>
      </c>
      <c r="K17" s="242">
        <f>'Master Assumptions'!$U$70*'Master Assumptions'!K230</f>
        <v>9720</v>
      </c>
      <c r="L17" s="242">
        <f>'Master Assumptions'!$U$70*'Master Assumptions'!L230</f>
        <v>9720</v>
      </c>
      <c r="M17" s="242">
        <f>'Master Assumptions'!$U$70*'Master Assumptions'!M230</f>
        <v>9720</v>
      </c>
      <c r="N17" s="251">
        <f>'Master Assumptions'!$U$70*'Master Assumptions'!N230</f>
        <v>9720</v>
      </c>
    </row>
    <row r="18" spans="1:14">
      <c r="A18" s="254" t="s">
        <v>253</v>
      </c>
      <c r="B18" s="243" t="str">
        <f>'Master Assumptions'!B231</f>
        <v>Gram - GJ221</v>
      </c>
      <c r="C18" s="242">
        <f>'Master Assumptions'!$V$70*'Master Assumptions'!C231</f>
        <v>27960</v>
      </c>
      <c r="D18" s="242">
        <f>'Master Assumptions'!$V$70*'Master Assumptions'!D231</f>
        <v>27960</v>
      </c>
      <c r="E18" s="242">
        <f>'Master Assumptions'!$V$70*'Master Assumptions'!E231</f>
        <v>27960</v>
      </c>
      <c r="F18" s="242">
        <f>'Master Assumptions'!$V$70*'Master Assumptions'!F231</f>
        <v>27960</v>
      </c>
      <c r="G18" s="242">
        <f>'Master Assumptions'!$V$70*'Master Assumptions'!G231</f>
        <v>27960</v>
      </c>
      <c r="H18" s="242">
        <f>'Master Assumptions'!$V$70*'Master Assumptions'!H231</f>
        <v>27960</v>
      </c>
      <c r="I18" s="242">
        <f>'Master Assumptions'!$V$70*'Master Assumptions'!I231</f>
        <v>27960</v>
      </c>
      <c r="J18" s="242">
        <f>'Master Assumptions'!$V$70*'Master Assumptions'!J231</f>
        <v>27960</v>
      </c>
      <c r="K18" s="242">
        <f>'Master Assumptions'!$V$70*'Master Assumptions'!K231</f>
        <v>13980</v>
      </c>
      <c r="L18" s="242">
        <f>'Master Assumptions'!$V$70*'Master Assumptions'!L231</f>
        <v>13980</v>
      </c>
      <c r="M18" s="242">
        <f>'Master Assumptions'!$V$70*'Master Assumptions'!M231</f>
        <v>13980</v>
      </c>
      <c r="N18" s="251">
        <f>'Master Assumptions'!$V$70*'Master Assumptions'!N231</f>
        <v>13980</v>
      </c>
    </row>
    <row r="19" spans="1:14">
      <c r="A19" s="1124" t="s">
        <v>252</v>
      </c>
      <c r="B19" s="243" t="str">
        <f>'Master Assumptions'!B232</f>
        <v>Water Melon</v>
      </c>
      <c r="C19" s="242">
        <f>'Master Assumptions'!$Q$70*'Master Assumptions'!C232</f>
        <v>6720</v>
      </c>
      <c r="D19" s="242">
        <f>'Master Assumptions'!$Q$70*'Master Assumptions'!D232</f>
        <v>6720</v>
      </c>
      <c r="E19" s="242">
        <f>'Master Assumptions'!$Q$70*'Master Assumptions'!E232</f>
        <v>6720</v>
      </c>
      <c r="F19" s="242">
        <f>'Master Assumptions'!$Q$70*'Master Assumptions'!F232</f>
        <v>6720</v>
      </c>
      <c r="G19" s="242">
        <f>'Master Assumptions'!$Q$70*'Master Assumptions'!G232</f>
        <v>6720</v>
      </c>
      <c r="H19" s="242">
        <f>'Master Assumptions'!$Q$70*'Master Assumptions'!H232</f>
        <v>6720</v>
      </c>
      <c r="I19" s="242">
        <f>'Master Assumptions'!$Q$70*'Master Assumptions'!I232</f>
        <v>6720</v>
      </c>
      <c r="J19" s="242">
        <f>'Master Assumptions'!$Q$70*'Master Assumptions'!J232</f>
        <v>6720</v>
      </c>
      <c r="K19" s="242">
        <f>'Master Assumptions'!$Q$70*'Master Assumptions'!K232</f>
        <v>3360</v>
      </c>
      <c r="L19" s="242">
        <f>'Master Assumptions'!$Q$70*'Master Assumptions'!L232</f>
        <v>3360</v>
      </c>
      <c r="M19" s="242">
        <f>'Master Assumptions'!$Q$70*'Master Assumptions'!M232</f>
        <v>3360</v>
      </c>
      <c r="N19" s="251">
        <f>'Master Assumptions'!$Q$70*'Master Assumptions'!N232</f>
        <v>3360</v>
      </c>
    </row>
    <row r="20" spans="1:14">
      <c r="A20" s="1124"/>
      <c r="B20" s="243" t="str">
        <f>'Master Assumptions'!B233</f>
        <v>Muskmelon</v>
      </c>
      <c r="C20" s="242">
        <f>'Master Assumptions'!$R$70*'Master Assumptions'!C233</f>
        <v>3240</v>
      </c>
      <c r="D20" s="242">
        <f>'Master Assumptions'!$R$70*'Master Assumptions'!D233</f>
        <v>3240</v>
      </c>
      <c r="E20" s="242">
        <f>'Master Assumptions'!$R$70*'Master Assumptions'!E233</f>
        <v>3240</v>
      </c>
      <c r="F20" s="242">
        <f>'Master Assumptions'!$R$70*'Master Assumptions'!F233</f>
        <v>3240</v>
      </c>
      <c r="G20" s="242">
        <f>'Master Assumptions'!$R$70*'Master Assumptions'!G233</f>
        <v>3240</v>
      </c>
      <c r="H20" s="242">
        <f>'Master Assumptions'!$R$70*'Master Assumptions'!H233</f>
        <v>3240</v>
      </c>
      <c r="I20" s="242">
        <f>'Master Assumptions'!$R$70*'Master Assumptions'!I233</f>
        <v>3240</v>
      </c>
      <c r="J20" s="242">
        <f>'Master Assumptions'!$R$70*'Master Assumptions'!J233</f>
        <v>3240</v>
      </c>
      <c r="K20" s="242">
        <f>'Master Assumptions'!$R$70*'Master Assumptions'!K233</f>
        <v>1620</v>
      </c>
      <c r="L20" s="242">
        <f>'Master Assumptions'!$R$70*'Master Assumptions'!L233</f>
        <v>1620</v>
      </c>
      <c r="M20" s="242">
        <f>'Master Assumptions'!$R$70*'Master Assumptions'!M233</f>
        <v>1620</v>
      </c>
      <c r="N20" s="251">
        <f>'Master Assumptions'!$R$70*'Master Assumptions'!N233</f>
        <v>1620</v>
      </c>
    </row>
    <row r="21" spans="1:14" ht="16.5" thickBot="1">
      <c r="A21" s="1125"/>
      <c r="B21" s="637" t="str">
        <f>'Master Assumptions'!B234</f>
        <v>Bitter gourd</v>
      </c>
      <c r="C21" s="252">
        <f>'Master Assumptions'!$S$70*'Master Assumptions'!C234</f>
        <v>13440</v>
      </c>
      <c r="D21" s="252">
        <f>'Master Assumptions'!$S$70*'Master Assumptions'!D234</f>
        <v>13440</v>
      </c>
      <c r="E21" s="252">
        <f>'Master Assumptions'!$S$70*'Master Assumptions'!E234</f>
        <v>13440</v>
      </c>
      <c r="F21" s="252">
        <f>'Master Assumptions'!$S$70*'Master Assumptions'!F234</f>
        <v>13440</v>
      </c>
      <c r="G21" s="252">
        <f>'Master Assumptions'!$S$70*'Master Assumptions'!G234</f>
        <v>13440</v>
      </c>
      <c r="H21" s="252">
        <f>'Master Assumptions'!$S$70*'Master Assumptions'!H234</f>
        <v>13440</v>
      </c>
      <c r="I21" s="252">
        <f>'Master Assumptions'!$S$70*'Master Assumptions'!I234</f>
        <v>13440</v>
      </c>
      <c r="J21" s="252">
        <f>'Master Assumptions'!$S$70*'Master Assumptions'!J234</f>
        <v>13440</v>
      </c>
      <c r="K21" s="252">
        <f>'Master Assumptions'!$S$70*'Master Assumptions'!K234</f>
        <v>6720</v>
      </c>
      <c r="L21" s="252">
        <f>'Master Assumptions'!$S$70*'Master Assumptions'!L234</f>
        <v>6720</v>
      </c>
      <c r="M21" s="252">
        <f>'Master Assumptions'!$S$70*'Master Assumptions'!M234</f>
        <v>6720</v>
      </c>
      <c r="N21" s="253">
        <f>'Master Assumptions'!$S$70*'Master Assumptions'!N234</f>
        <v>6720</v>
      </c>
    </row>
    <row r="23" spans="1:14" ht="16.5" thickBot="1"/>
    <row r="24" spans="1:14" ht="16.5" thickBot="1">
      <c r="A24" s="1108" t="s">
        <v>248</v>
      </c>
      <c r="B24" s="1110" t="s">
        <v>119</v>
      </c>
      <c r="C24" s="1112" t="s">
        <v>242</v>
      </c>
      <c r="D24" s="1113"/>
      <c r="E24" s="1113"/>
      <c r="F24" s="1113"/>
      <c r="G24" s="1113"/>
      <c r="H24" s="1113"/>
      <c r="I24" s="1113"/>
      <c r="J24" s="1113"/>
      <c r="K24" s="1113"/>
      <c r="L24" s="1113"/>
      <c r="M24" s="1113"/>
      <c r="N24" s="1114"/>
    </row>
    <row r="25" spans="1:14" ht="16.5" thickBot="1">
      <c r="A25" s="1109"/>
      <c r="B25" s="1111"/>
      <c r="C25" s="261">
        <v>44652</v>
      </c>
      <c r="D25" s="255">
        <v>44682</v>
      </c>
      <c r="E25" s="261">
        <v>44713</v>
      </c>
      <c r="F25" s="255">
        <v>44743</v>
      </c>
      <c r="G25" s="261">
        <v>44774</v>
      </c>
      <c r="H25" s="255">
        <v>44805</v>
      </c>
      <c r="I25" s="261">
        <v>44835</v>
      </c>
      <c r="J25" s="255">
        <v>44866</v>
      </c>
      <c r="K25" s="261">
        <v>44896</v>
      </c>
      <c r="L25" s="255">
        <v>44927</v>
      </c>
      <c r="M25" s="261">
        <v>44958</v>
      </c>
      <c r="N25" s="255">
        <v>44986</v>
      </c>
    </row>
    <row r="26" spans="1:14">
      <c r="A26" s="1132" t="s">
        <v>124</v>
      </c>
      <c r="B26" s="638" t="str">
        <f>'Master Assumptions'!B218</f>
        <v>Basmati</v>
      </c>
      <c r="C26" s="249">
        <f>'Master Assumptions'!O240</f>
        <v>80</v>
      </c>
      <c r="D26" s="249">
        <f>'Master Assumptions'!O240</f>
        <v>80</v>
      </c>
      <c r="E26" s="249">
        <f>'Master Assumptions'!O240</f>
        <v>80</v>
      </c>
      <c r="F26" s="249">
        <f>'Master Assumptions'!P240</f>
        <v>92</v>
      </c>
      <c r="G26" s="249">
        <f>'Master Assumptions'!P240</f>
        <v>92</v>
      </c>
      <c r="H26" s="249">
        <f>'Master Assumptions'!P240</f>
        <v>92</v>
      </c>
      <c r="I26" s="249">
        <f>'Master Assumptions'!Q240</f>
        <v>105</v>
      </c>
      <c r="J26" s="249">
        <f>'Master Assumptions'!Q240</f>
        <v>105</v>
      </c>
      <c r="K26" s="249">
        <f>'Master Assumptions'!Q240</f>
        <v>105</v>
      </c>
      <c r="L26" s="249">
        <f>'Master Assumptions'!R240</f>
        <v>118</v>
      </c>
      <c r="M26" s="249">
        <f>'Master Assumptions'!R240</f>
        <v>118</v>
      </c>
      <c r="N26" s="250">
        <f>'Master Assumptions'!R240</f>
        <v>118</v>
      </c>
    </row>
    <row r="27" spans="1:14">
      <c r="A27" s="1124"/>
      <c r="B27" s="243" t="str">
        <f>'Master Assumptions'!B219</f>
        <v>Jordaar</v>
      </c>
      <c r="C27" s="242">
        <f>'Master Assumptions'!O241</f>
        <v>79</v>
      </c>
      <c r="D27" s="242">
        <f>'Master Assumptions'!O241</f>
        <v>79</v>
      </c>
      <c r="E27" s="242">
        <f>'Master Assumptions'!O241</f>
        <v>79</v>
      </c>
      <c r="F27" s="242">
        <f>'Master Assumptions'!P241</f>
        <v>79</v>
      </c>
      <c r="G27" s="242">
        <f>'Master Assumptions'!P241</f>
        <v>79</v>
      </c>
      <c r="H27" s="242">
        <f>'Master Assumptions'!P241</f>
        <v>79</v>
      </c>
      <c r="I27" s="242">
        <f>'Master Assumptions'!Q241</f>
        <v>79</v>
      </c>
      <c r="J27" s="242">
        <f>'Master Assumptions'!Q241</f>
        <v>79</v>
      </c>
      <c r="K27" s="242">
        <f>'Master Assumptions'!Q241</f>
        <v>79</v>
      </c>
      <c r="L27" s="242">
        <f>'Master Assumptions'!R241</f>
        <v>79</v>
      </c>
      <c r="M27" s="242">
        <f>'Master Assumptions'!R241</f>
        <v>79</v>
      </c>
      <c r="N27" s="251">
        <f>'Master Assumptions'!R241</f>
        <v>79</v>
      </c>
    </row>
    <row r="28" spans="1:14">
      <c r="A28" s="1124"/>
      <c r="B28" s="243" t="str">
        <f>'Master Assumptions'!B220</f>
        <v>Early sona</v>
      </c>
      <c r="C28" s="242">
        <f>'Master Assumptions'!O242</f>
        <v>63</v>
      </c>
      <c r="D28" s="242">
        <f>'Master Assumptions'!O242</f>
        <v>63</v>
      </c>
      <c r="E28" s="242">
        <f>'Master Assumptions'!O242</f>
        <v>63</v>
      </c>
      <c r="F28" s="242">
        <f>'Master Assumptions'!P242</f>
        <v>63</v>
      </c>
      <c r="G28" s="242">
        <f>'Master Assumptions'!P242</f>
        <v>63</v>
      </c>
      <c r="H28" s="242">
        <f>'Master Assumptions'!P242</f>
        <v>63</v>
      </c>
      <c r="I28" s="242">
        <f>'Master Assumptions'!Q242</f>
        <v>63</v>
      </c>
      <c r="J28" s="242">
        <f>'Master Assumptions'!Q242</f>
        <v>63</v>
      </c>
      <c r="K28" s="242">
        <f>'Master Assumptions'!Q242</f>
        <v>63</v>
      </c>
      <c r="L28" s="242">
        <f>'Master Assumptions'!R242</f>
        <v>63</v>
      </c>
      <c r="M28" s="242">
        <f>'Master Assumptions'!R242</f>
        <v>63</v>
      </c>
      <c r="N28" s="251">
        <f>'Master Assumptions'!R242</f>
        <v>63</v>
      </c>
    </row>
    <row r="29" spans="1:14">
      <c r="A29" s="1115"/>
      <c r="B29" s="243">
        <f>'Master Assumptions'!B221</f>
        <v>1010</v>
      </c>
      <c r="C29" s="242">
        <f>'Master Assumptions'!O243</f>
        <v>32</v>
      </c>
      <c r="D29" s="242">
        <f>'Master Assumptions'!O243</f>
        <v>32</v>
      </c>
      <c r="E29" s="242">
        <f>'Master Assumptions'!O243</f>
        <v>32</v>
      </c>
      <c r="F29" s="242">
        <f>'Master Assumptions'!P243</f>
        <v>32</v>
      </c>
      <c r="G29" s="242">
        <f>'Master Assumptions'!P243</f>
        <v>32</v>
      </c>
      <c r="H29" s="242">
        <f>'Master Assumptions'!P243</f>
        <v>32</v>
      </c>
      <c r="I29" s="242">
        <f>'Master Assumptions'!Q243</f>
        <v>32</v>
      </c>
      <c r="J29" s="242">
        <f>'Master Assumptions'!Q243</f>
        <v>32</v>
      </c>
      <c r="K29" s="242">
        <f>'Master Assumptions'!Q243</f>
        <v>32</v>
      </c>
      <c r="L29" s="242">
        <f>'Master Assumptions'!R243</f>
        <v>32</v>
      </c>
      <c r="M29" s="242">
        <f>'Master Assumptions'!R243</f>
        <v>32</v>
      </c>
      <c r="N29" s="251">
        <f>'Master Assumptions'!R243</f>
        <v>32</v>
      </c>
    </row>
    <row r="30" spans="1:14">
      <c r="A30" s="1119" t="s">
        <v>180</v>
      </c>
      <c r="B30" s="243" t="str">
        <f>'Master Assumptions'!B222</f>
        <v>Bitter gourd</v>
      </c>
      <c r="C30" s="242">
        <f>'Master Assumptions'!O244</f>
        <v>96</v>
      </c>
      <c r="D30" s="242">
        <f>'Master Assumptions'!O244</f>
        <v>96</v>
      </c>
      <c r="E30" s="242">
        <f>'Master Assumptions'!O244</f>
        <v>96</v>
      </c>
      <c r="F30" s="242">
        <f>'Master Assumptions'!P244</f>
        <v>96</v>
      </c>
      <c r="G30" s="242">
        <f>'Master Assumptions'!P244</f>
        <v>96</v>
      </c>
      <c r="H30" s="242">
        <f>'Master Assumptions'!P244</f>
        <v>96</v>
      </c>
      <c r="I30" s="242">
        <f>'Master Assumptions'!Q244</f>
        <v>96</v>
      </c>
      <c r="J30" s="242">
        <f>'Master Assumptions'!Q244</f>
        <v>96</v>
      </c>
      <c r="K30" s="242">
        <f>'Master Assumptions'!Q244</f>
        <v>96</v>
      </c>
      <c r="L30" s="242">
        <f>'Master Assumptions'!R244</f>
        <v>96</v>
      </c>
      <c r="M30" s="242">
        <f>'Master Assumptions'!R244</f>
        <v>96</v>
      </c>
      <c r="N30" s="251">
        <f>'Master Assumptions'!R244</f>
        <v>96</v>
      </c>
    </row>
    <row r="31" spans="1:14">
      <c r="A31" s="1124"/>
      <c r="B31" s="243" t="str">
        <f>'Master Assumptions'!B223</f>
        <v>Sponge guord</v>
      </c>
      <c r="C31" s="242">
        <f>'Master Assumptions'!O245</f>
        <v>42</v>
      </c>
      <c r="D31" s="242">
        <f>'Master Assumptions'!O245</f>
        <v>42</v>
      </c>
      <c r="E31" s="242">
        <f>'Master Assumptions'!O245</f>
        <v>42</v>
      </c>
      <c r="F31" s="242">
        <f>'Master Assumptions'!P245</f>
        <v>42</v>
      </c>
      <c r="G31" s="242">
        <f>'Master Assumptions'!P245</f>
        <v>42</v>
      </c>
      <c r="H31" s="242">
        <f>'Master Assumptions'!P245</f>
        <v>42</v>
      </c>
      <c r="I31" s="242">
        <f>'Master Assumptions'!Q245</f>
        <v>42</v>
      </c>
      <c r="J31" s="242">
        <f>'Master Assumptions'!Q245</f>
        <v>42</v>
      </c>
      <c r="K31" s="242">
        <f>'Master Assumptions'!Q245</f>
        <v>42</v>
      </c>
      <c r="L31" s="242">
        <f>'Master Assumptions'!R245</f>
        <v>42</v>
      </c>
      <c r="M31" s="242">
        <f>'Master Assumptions'!R245</f>
        <v>42</v>
      </c>
      <c r="N31" s="251">
        <f>'Master Assumptions'!R245</f>
        <v>42</v>
      </c>
    </row>
    <row r="32" spans="1:14">
      <c r="A32" s="1124"/>
      <c r="B32" s="243" t="str">
        <f>'Master Assumptions'!B224</f>
        <v>Cow pea</v>
      </c>
      <c r="C32" s="242">
        <f>'Master Assumptions'!O246</f>
        <v>90</v>
      </c>
      <c r="D32" s="242">
        <f>'Master Assumptions'!O246</f>
        <v>90</v>
      </c>
      <c r="E32" s="242">
        <f>'Master Assumptions'!O246</f>
        <v>90</v>
      </c>
      <c r="F32" s="242">
        <f>'Master Assumptions'!P246</f>
        <v>90</v>
      </c>
      <c r="G32" s="242">
        <f>'Master Assumptions'!P246</f>
        <v>90</v>
      </c>
      <c r="H32" s="242">
        <f>'Master Assumptions'!P246</f>
        <v>90</v>
      </c>
      <c r="I32" s="242">
        <f>'Master Assumptions'!Q246</f>
        <v>90</v>
      </c>
      <c r="J32" s="242">
        <f>'Master Assumptions'!Q246</f>
        <v>90</v>
      </c>
      <c r="K32" s="242">
        <f>'Master Assumptions'!Q246</f>
        <v>90</v>
      </c>
      <c r="L32" s="242">
        <f>'Master Assumptions'!R246</f>
        <v>90</v>
      </c>
      <c r="M32" s="242">
        <f>'Master Assumptions'!R246</f>
        <v>90</v>
      </c>
      <c r="N32" s="251">
        <f>'Master Assumptions'!R246</f>
        <v>90</v>
      </c>
    </row>
    <row r="33" spans="1:14">
      <c r="A33" s="1124"/>
      <c r="B33" s="243" t="str">
        <f>'Master Assumptions'!B225</f>
        <v>Green Pea</v>
      </c>
      <c r="C33" s="242">
        <f>'Master Assumptions'!O247</f>
        <v>420</v>
      </c>
      <c r="D33" s="242">
        <f>'Master Assumptions'!O247</f>
        <v>420</v>
      </c>
      <c r="E33" s="242">
        <f>'Master Assumptions'!O247</f>
        <v>420</v>
      </c>
      <c r="F33" s="242">
        <f>'Master Assumptions'!P247</f>
        <v>420</v>
      </c>
      <c r="G33" s="242">
        <f>'Master Assumptions'!P247</f>
        <v>420</v>
      </c>
      <c r="H33" s="242">
        <f>'Master Assumptions'!P247</f>
        <v>420</v>
      </c>
      <c r="I33" s="242">
        <f>'Master Assumptions'!Q247</f>
        <v>420</v>
      </c>
      <c r="J33" s="242">
        <f>'Master Assumptions'!Q247</f>
        <v>420</v>
      </c>
      <c r="K33" s="242">
        <f>'Master Assumptions'!Q247</f>
        <v>420</v>
      </c>
      <c r="L33" s="242">
        <f>'Master Assumptions'!R247</f>
        <v>420</v>
      </c>
      <c r="M33" s="242">
        <f>'Master Assumptions'!R247</f>
        <v>420</v>
      </c>
      <c r="N33" s="251">
        <f>'Master Assumptions'!R247</f>
        <v>420</v>
      </c>
    </row>
    <row r="34" spans="1:14">
      <c r="A34" s="1124"/>
      <c r="B34" s="243" t="str">
        <f>'Master Assumptions'!B226</f>
        <v>Cauliflower</v>
      </c>
      <c r="C34" s="242">
        <f>'Master Assumptions'!O248</f>
        <v>105</v>
      </c>
      <c r="D34" s="242">
        <f>'Master Assumptions'!O248</f>
        <v>105</v>
      </c>
      <c r="E34" s="242">
        <f>'Master Assumptions'!O248</f>
        <v>105</v>
      </c>
      <c r="F34" s="242">
        <f>'Master Assumptions'!P248</f>
        <v>105</v>
      </c>
      <c r="G34" s="242">
        <f>'Master Assumptions'!P248</f>
        <v>105</v>
      </c>
      <c r="H34" s="242">
        <f>'Master Assumptions'!P248</f>
        <v>105</v>
      </c>
      <c r="I34" s="242">
        <f>'Master Assumptions'!Q248</f>
        <v>105</v>
      </c>
      <c r="J34" s="242">
        <f>'Master Assumptions'!Q248</f>
        <v>105</v>
      </c>
      <c r="K34" s="242">
        <f>'Master Assumptions'!Q248</f>
        <v>105</v>
      </c>
      <c r="L34" s="242">
        <f>'Master Assumptions'!R248</f>
        <v>105</v>
      </c>
      <c r="M34" s="242">
        <f>'Master Assumptions'!R248</f>
        <v>105</v>
      </c>
      <c r="N34" s="251">
        <f>'Master Assumptions'!R248</f>
        <v>105</v>
      </c>
    </row>
    <row r="35" spans="1:14">
      <c r="A35" s="1124"/>
      <c r="B35" s="243" t="str">
        <f>'Master Assumptions'!B227</f>
        <v>Lady Finger</v>
      </c>
      <c r="C35" s="242">
        <f>'Master Assumptions'!O249</f>
        <v>38</v>
      </c>
      <c r="D35" s="242">
        <f>'Master Assumptions'!O249</f>
        <v>38</v>
      </c>
      <c r="E35" s="242">
        <f>'Master Assumptions'!O249</f>
        <v>38</v>
      </c>
      <c r="F35" s="242">
        <f>'Master Assumptions'!P249</f>
        <v>38</v>
      </c>
      <c r="G35" s="242">
        <f>'Master Assumptions'!P249</f>
        <v>38</v>
      </c>
      <c r="H35" s="242">
        <f>'Master Assumptions'!P249</f>
        <v>38</v>
      </c>
      <c r="I35" s="242">
        <f>'Master Assumptions'!Q249</f>
        <v>38</v>
      </c>
      <c r="J35" s="242">
        <f>'Master Assumptions'!Q249</f>
        <v>38</v>
      </c>
      <c r="K35" s="242">
        <f>'Master Assumptions'!Q249</f>
        <v>38</v>
      </c>
      <c r="L35" s="242">
        <f>'Master Assumptions'!R249</f>
        <v>38</v>
      </c>
      <c r="M35" s="242">
        <f>'Master Assumptions'!R249</f>
        <v>38</v>
      </c>
      <c r="N35" s="251">
        <f>'Master Assumptions'!R249</f>
        <v>38</v>
      </c>
    </row>
    <row r="36" spans="1:14">
      <c r="A36" s="1115"/>
      <c r="B36" s="243" t="str">
        <f>'Master Assumptions'!B228</f>
        <v>Brinjal</v>
      </c>
      <c r="C36" s="242">
        <f>'Master Assumptions'!O250</f>
        <v>38</v>
      </c>
      <c r="D36" s="242">
        <f>'Master Assumptions'!O250</f>
        <v>38</v>
      </c>
      <c r="E36" s="242">
        <f>'Master Assumptions'!O250</f>
        <v>38</v>
      </c>
      <c r="F36" s="242">
        <f>'Master Assumptions'!P250</f>
        <v>38</v>
      </c>
      <c r="G36" s="242">
        <f>'Master Assumptions'!P250</f>
        <v>38</v>
      </c>
      <c r="H36" s="242">
        <f>'Master Assumptions'!P250</f>
        <v>38</v>
      </c>
      <c r="I36" s="242">
        <f>'Master Assumptions'!Q250</f>
        <v>38</v>
      </c>
      <c r="J36" s="242">
        <f>'Master Assumptions'!Q250</f>
        <v>38</v>
      </c>
      <c r="K36" s="242">
        <f>'Master Assumptions'!Q250</f>
        <v>38</v>
      </c>
      <c r="L36" s="242">
        <f>'Master Assumptions'!R250</f>
        <v>38</v>
      </c>
      <c r="M36" s="242">
        <f>'Master Assumptions'!R250</f>
        <v>38</v>
      </c>
      <c r="N36" s="251">
        <f>'Master Assumptions'!R250</f>
        <v>38</v>
      </c>
    </row>
    <row r="37" spans="1:14">
      <c r="A37" s="1119" t="s">
        <v>125</v>
      </c>
      <c r="B37" s="243" t="str">
        <f>'Master Assumptions'!B229</f>
        <v>Wheat - 1544</v>
      </c>
      <c r="C37" s="242">
        <f>'Master Assumptions'!O251</f>
        <v>68</v>
      </c>
      <c r="D37" s="242">
        <f>'Master Assumptions'!O251</f>
        <v>68</v>
      </c>
      <c r="E37" s="242">
        <f>'Master Assumptions'!O251</f>
        <v>68</v>
      </c>
      <c r="F37" s="242">
        <f>'Master Assumptions'!P251</f>
        <v>68</v>
      </c>
      <c r="G37" s="242">
        <f>'Master Assumptions'!P251</f>
        <v>68</v>
      </c>
      <c r="H37" s="242">
        <f>'Master Assumptions'!P251</f>
        <v>68</v>
      </c>
      <c r="I37" s="242">
        <f>'Master Assumptions'!Q251</f>
        <v>68</v>
      </c>
      <c r="J37" s="242">
        <f>'Master Assumptions'!Q251</f>
        <v>68</v>
      </c>
      <c r="K37" s="242">
        <f>'Master Assumptions'!Q251</f>
        <v>68</v>
      </c>
      <c r="L37" s="242">
        <f>'Master Assumptions'!R251</f>
        <v>68</v>
      </c>
      <c r="M37" s="242">
        <f>'Master Assumptions'!R251</f>
        <v>68</v>
      </c>
      <c r="N37" s="251">
        <f>'Master Assumptions'!R251</f>
        <v>68</v>
      </c>
    </row>
    <row r="38" spans="1:14">
      <c r="A38" s="1115"/>
      <c r="B38" s="243" t="str">
        <f>'Master Assumptions'!B230</f>
        <v>Wheat- 273</v>
      </c>
      <c r="C38" s="242">
        <f>'Master Assumptions'!O252</f>
        <v>273</v>
      </c>
      <c r="D38" s="242">
        <f>'Master Assumptions'!O252</f>
        <v>273</v>
      </c>
      <c r="E38" s="242">
        <f>'Master Assumptions'!O252</f>
        <v>273</v>
      </c>
      <c r="F38" s="242">
        <f>'Master Assumptions'!P252</f>
        <v>273</v>
      </c>
      <c r="G38" s="242">
        <f>'Master Assumptions'!P252</f>
        <v>273</v>
      </c>
      <c r="H38" s="242">
        <f>'Master Assumptions'!P252</f>
        <v>273</v>
      </c>
      <c r="I38" s="242">
        <f>'Master Assumptions'!Q252</f>
        <v>273</v>
      </c>
      <c r="J38" s="242">
        <f>'Master Assumptions'!Q252</f>
        <v>273</v>
      </c>
      <c r="K38" s="242">
        <f>'Master Assumptions'!Q252</f>
        <v>273</v>
      </c>
      <c r="L38" s="242">
        <f>'Master Assumptions'!R252</f>
        <v>273</v>
      </c>
      <c r="M38" s="242">
        <f>'Master Assumptions'!R252</f>
        <v>273</v>
      </c>
      <c r="N38" s="251">
        <f>'Master Assumptions'!R252</f>
        <v>273</v>
      </c>
    </row>
    <row r="39" spans="1:14">
      <c r="A39" s="254" t="s">
        <v>253</v>
      </c>
      <c r="B39" s="243" t="str">
        <f>'Master Assumptions'!B231</f>
        <v>Gram - GJ221</v>
      </c>
      <c r="C39" s="242">
        <f>'Master Assumptions'!O253</f>
        <v>158</v>
      </c>
      <c r="D39" s="242">
        <f>'Master Assumptions'!O253</f>
        <v>158</v>
      </c>
      <c r="E39" s="242">
        <f>'Master Assumptions'!O253</f>
        <v>158</v>
      </c>
      <c r="F39" s="242">
        <f>'Master Assumptions'!P253</f>
        <v>158</v>
      </c>
      <c r="G39" s="242">
        <f>'Master Assumptions'!P253</f>
        <v>158</v>
      </c>
      <c r="H39" s="242">
        <f>'Master Assumptions'!P253</f>
        <v>158</v>
      </c>
      <c r="I39" s="242">
        <f>'Master Assumptions'!Q253</f>
        <v>158</v>
      </c>
      <c r="J39" s="242">
        <f>'Master Assumptions'!Q253</f>
        <v>158</v>
      </c>
      <c r="K39" s="242">
        <f>'Master Assumptions'!Q253</f>
        <v>158</v>
      </c>
      <c r="L39" s="242">
        <f>'Master Assumptions'!R253</f>
        <v>158</v>
      </c>
      <c r="M39" s="242">
        <f>'Master Assumptions'!R253</f>
        <v>158</v>
      </c>
      <c r="N39" s="251">
        <f>'Master Assumptions'!R253</f>
        <v>158</v>
      </c>
    </row>
    <row r="40" spans="1:14">
      <c r="A40" s="1124" t="s">
        <v>252</v>
      </c>
      <c r="B40" s="243" t="str">
        <f>'Master Assumptions'!B232</f>
        <v>Water Melon</v>
      </c>
      <c r="C40" s="242">
        <f>'Master Assumptions'!O254</f>
        <v>252</v>
      </c>
      <c r="D40" s="242">
        <f>'Master Assumptions'!O254</f>
        <v>252</v>
      </c>
      <c r="E40" s="242">
        <f>'Master Assumptions'!O254</f>
        <v>252</v>
      </c>
      <c r="F40" s="242">
        <f>'Master Assumptions'!P254</f>
        <v>252</v>
      </c>
      <c r="G40" s="242">
        <f>'Master Assumptions'!P254</f>
        <v>252</v>
      </c>
      <c r="H40" s="242">
        <f>'Master Assumptions'!P254</f>
        <v>252</v>
      </c>
      <c r="I40" s="242">
        <f>'Master Assumptions'!Q254</f>
        <v>252</v>
      </c>
      <c r="J40" s="242">
        <f>'Master Assumptions'!Q254</f>
        <v>252</v>
      </c>
      <c r="K40" s="242">
        <f>'Master Assumptions'!Q254</f>
        <v>252</v>
      </c>
      <c r="L40" s="242">
        <f>'Master Assumptions'!R254</f>
        <v>252</v>
      </c>
      <c r="M40" s="242">
        <f>'Master Assumptions'!R254</f>
        <v>252</v>
      </c>
      <c r="N40" s="251">
        <f>'Master Assumptions'!R254</f>
        <v>252</v>
      </c>
    </row>
    <row r="41" spans="1:14">
      <c r="A41" s="1124"/>
      <c r="B41" s="243" t="str">
        <f>'Master Assumptions'!B233</f>
        <v>Muskmelon</v>
      </c>
      <c r="C41" s="242">
        <f>'Master Assumptions'!O255</f>
        <v>242</v>
      </c>
      <c r="D41" s="242">
        <f>'Master Assumptions'!O255</f>
        <v>242</v>
      </c>
      <c r="E41" s="242">
        <f>'Master Assumptions'!O255</f>
        <v>242</v>
      </c>
      <c r="F41" s="242">
        <f>'Master Assumptions'!P255</f>
        <v>242</v>
      </c>
      <c r="G41" s="242">
        <f>'Master Assumptions'!P255</f>
        <v>242</v>
      </c>
      <c r="H41" s="242">
        <f>'Master Assumptions'!P255</f>
        <v>242</v>
      </c>
      <c r="I41" s="242">
        <f>'Master Assumptions'!Q255</f>
        <v>242</v>
      </c>
      <c r="J41" s="242">
        <f>'Master Assumptions'!Q255</f>
        <v>242</v>
      </c>
      <c r="K41" s="242">
        <f>'Master Assumptions'!Q255</f>
        <v>242</v>
      </c>
      <c r="L41" s="242">
        <f>'Master Assumptions'!R255</f>
        <v>242</v>
      </c>
      <c r="M41" s="242">
        <f>'Master Assumptions'!R255</f>
        <v>242</v>
      </c>
      <c r="N41" s="251">
        <f>'Master Assumptions'!R255</f>
        <v>242</v>
      </c>
    </row>
    <row r="42" spans="1:14" ht="16.5" thickBot="1">
      <c r="A42" s="1125"/>
      <c r="B42" s="637" t="str">
        <f>'Master Assumptions'!B234</f>
        <v>Bitter gourd</v>
      </c>
      <c r="C42" s="252">
        <f>'Master Assumptions'!O256</f>
        <v>95</v>
      </c>
      <c r="D42" s="252">
        <f>'Master Assumptions'!O256</f>
        <v>95</v>
      </c>
      <c r="E42" s="252">
        <f>'Master Assumptions'!O256</f>
        <v>95</v>
      </c>
      <c r="F42" s="252">
        <f>'Master Assumptions'!P256</f>
        <v>95</v>
      </c>
      <c r="G42" s="252">
        <f>'Master Assumptions'!P256</f>
        <v>95</v>
      </c>
      <c r="H42" s="252">
        <f>'Master Assumptions'!P256</f>
        <v>95</v>
      </c>
      <c r="I42" s="252">
        <f>'Master Assumptions'!Q256</f>
        <v>95</v>
      </c>
      <c r="J42" s="252">
        <f>'Master Assumptions'!Q256</f>
        <v>95</v>
      </c>
      <c r="K42" s="252">
        <f>'Master Assumptions'!Q256</f>
        <v>95</v>
      </c>
      <c r="L42" s="252">
        <f>'Master Assumptions'!R256</f>
        <v>95</v>
      </c>
      <c r="M42" s="252">
        <f>'Master Assumptions'!R256</f>
        <v>95</v>
      </c>
      <c r="N42" s="253">
        <f>'Master Assumptions'!R256</f>
        <v>95</v>
      </c>
    </row>
    <row r="44" spans="1:14" ht="16.5" thickBot="1"/>
    <row r="45" spans="1:14" ht="16.5" thickBot="1">
      <c r="A45" s="1108" t="s">
        <v>248</v>
      </c>
      <c r="B45" s="1110" t="s">
        <v>119</v>
      </c>
      <c r="C45" s="1112" t="s">
        <v>47</v>
      </c>
      <c r="D45" s="1113"/>
      <c r="E45" s="1113"/>
      <c r="F45" s="1113"/>
      <c r="G45" s="1113"/>
      <c r="H45" s="1113"/>
      <c r="I45" s="1113"/>
      <c r="J45" s="1113"/>
      <c r="K45" s="1113"/>
      <c r="L45" s="1113"/>
      <c r="M45" s="1113"/>
      <c r="N45" s="1114"/>
    </row>
    <row r="46" spans="1:14" ht="16.5" thickBot="1">
      <c r="A46" s="1109"/>
      <c r="B46" s="1111"/>
      <c r="C46" s="261">
        <v>44652</v>
      </c>
      <c r="D46" s="255">
        <v>44682</v>
      </c>
      <c r="E46" s="261">
        <v>44713</v>
      </c>
      <c r="F46" s="255">
        <v>44743</v>
      </c>
      <c r="G46" s="261">
        <v>44774</v>
      </c>
      <c r="H46" s="255">
        <v>44805</v>
      </c>
      <c r="I46" s="261">
        <v>44835</v>
      </c>
      <c r="J46" s="255">
        <v>44866</v>
      </c>
      <c r="K46" s="261">
        <v>44896</v>
      </c>
      <c r="L46" s="255">
        <v>44927</v>
      </c>
      <c r="M46" s="261">
        <v>44958</v>
      </c>
      <c r="N46" s="255">
        <v>44986</v>
      </c>
    </row>
    <row r="47" spans="1:14">
      <c r="A47" s="1132" t="s">
        <v>124</v>
      </c>
      <c r="B47" s="638" t="str">
        <f>'Master Assumptions'!B218</f>
        <v>Basmati</v>
      </c>
      <c r="C47" s="249">
        <f>C5*C26</f>
        <v>0</v>
      </c>
      <c r="D47" s="249">
        <f t="shared" ref="D47:N47" si="0">D5*D26</f>
        <v>0</v>
      </c>
      <c r="E47" s="249">
        <f t="shared" si="0"/>
        <v>0</v>
      </c>
      <c r="F47" s="249">
        <f t="shared" si="0"/>
        <v>1972480</v>
      </c>
      <c r="G47" s="249">
        <f t="shared" si="0"/>
        <v>2958720</v>
      </c>
      <c r="H47" s="249">
        <f t="shared" si="0"/>
        <v>4931200</v>
      </c>
      <c r="I47" s="249">
        <f t="shared" si="0"/>
        <v>0</v>
      </c>
      <c r="J47" s="249">
        <f t="shared" si="0"/>
        <v>0</v>
      </c>
      <c r="K47" s="249">
        <f t="shared" si="0"/>
        <v>0</v>
      </c>
      <c r="L47" s="249">
        <f t="shared" si="0"/>
        <v>0</v>
      </c>
      <c r="M47" s="249">
        <f t="shared" si="0"/>
        <v>0</v>
      </c>
      <c r="N47" s="249">
        <f t="shared" si="0"/>
        <v>0</v>
      </c>
    </row>
    <row r="48" spans="1:14">
      <c r="A48" s="1124"/>
      <c r="B48" s="243" t="str">
        <f>'Master Assumptions'!B219</f>
        <v>Jordaar</v>
      </c>
      <c r="C48" s="242">
        <f t="shared" ref="C48:N48" si="1">C6*C27</f>
        <v>0</v>
      </c>
      <c r="D48" s="242">
        <f t="shared" si="1"/>
        <v>0</v>
      </c>
      <c r="E48" s="242">
        <f t="shared" si="1"/>
        <v>0</v>
      </c>
      <c r="F48" s="242">
        <f t="shared" si="1"/>
        <v>0</v>
      </c>
      <c r="G48" s="242">
        <f t="shared" si="1"/>
        <v>0</v>
      </c>
      <c r="H48" s="242">
        <f t="shared" si="1"/>
        <v>4607280</v>
      </c>
      <c r="I48" s="242">
        <f t="shared" si="1"/>
        <v>3071520</v>
      </c>
      <c r="J48" s="242">
        <f t="shared" si="1"/>
        <v>7678800</v>
      </c>
      <c r="K48" s="242">
        <f t="shared" si="1"/>
        <v>0</v>
      </c>
      <c r="L48" s="242">
        <f t="shared" si="1"/>
        <v>0</v>
      </c>
      <c r="M48" s="242">
        <f t="shared" si="1"/>
        <v>0</v>
      </c>
      <c r="N48" s="251">
        <f t="shared" si="1"/>
        <v>0</v>
      </c>
    </row>
    <row r="49" spans="1:14">
      <c r="A49" s="1124"/>
      <c r="B49" s="243" t="str">
        <f>'Master Assumptions'!B220</f>
        <v>Early sona</v>
      </c>
      <c r="C49" s="242">
        <f t="shared" ref="C49:N49" si="2">C7*C28</f>
        <v>0</v>
      </c>
      <c r="D49" s="242">
        <f t="shared" si="2"/>
        <v>0</v>
      </c>
      <c r="E49" s="242">
        <f t="shared" si="2"/>
        <v>0</v>
      </c>
      <c r="F49" s="242">
        <f t="shared" si="2"/>
        <v>0</v>
      </c>
      <c r="G49" s="242">
        <f t="shared" si="2"/>
        <v>8807400</v>
      </c>
      <c r="H49" s="242">
        <f t="shared" si="2"/>
        <v>5284440</v>
      </c>
      <c r="I49" s="242">
        <f t="shared" si="2"/>
        <v>3522960</v>
      </c>
      <c r="J49" s="242">
        <f t="shared" si="2"/>
        <v>0</v>
      </c>
      <c r="K49" s="242">
        <f t="shared" si="2"/>
        <v>0</v>
      </c>
      <c r="L49" s="242">
        <f t="shared" si="2"/>
        <v>0</v>
      </c>
      <c r="M49" s="242">
        <f t="shared" si="2"/>
        <v>0</v>
      </c>
      <c r="N49" s="251">
        <f t="shared" si="2"/>
        <v>0</v>
      </c>
    </row>
    <row r="50" spans="1:14">
      <c r="A50" s="1115"/>
      <c r="B50" s="243">
        <f>'Master Assumptions'!B221</f>
        <v>1010</v>
      </c>
      <c r="C50" s="242">
        <f t="shared" ref="C50:N50" si="3">C8*C29</f>
        <v>0</v>
      </c>
      <c r="D50" s="242">
        <f t="shared" si="3"/>
        <v>0</v>
      </c>
      <c r="E50" s="242">
        <f t="shared" si="3"/>
        <v>0</v>
      </c>
      <c r="F50" s="242">
        <f t="shared" si="3"/>
        <v>0</v>
      </c>
      <c r="G50" s="242">
        <f t="shared" si="3"/>
        <v>0</v>
      </c>
      <c r="H50" s="242">
        <f t="shared" si="3"/>
        <v>0</v>
      </c>
      <c r="I50" s="242">
        <f t="shared" si="3"/>
        <v>0</v>
      </c>
      <c r="J50" s="242">
        <f t="shared" si="3"/>
        <v>0</v>
      </c>
      <c r="K50" s="242">
        <f t="shared" si="3"/>
        <v>0</v>
      </c>
      <c r="L50" s="242">
        <f t="shared" si="3"/>
        <v>13350400</v>
      </c>
      <c r="M50" s="242">
        <f t="shared" si="3"/>
        <v>1907200</v>
      </c>
      <c r="N50" s="251">
        <f t="shared" si="3"/>
        <v>3814400</v>
      </c>
    </row>
    <row r="51" spans="1:14">
      <c r="A51" s="1119" t="s">
        <v>180</v>
      </c>
      <c r="B51" s="243" t="str">
        <f>'Master Assumptions'!B222</f>
        <v>Bitter gourd</v>
      </c>
      <c r="C51" s="242">
        <f t="shared" ref="C51:N51" si="4">C9*C30</f>
        <v>860160</v>
      </c>
      <c r="D51" s="242">
        <f t="shared" si="4"/>
        <v>860160</v>
      </c>
      <c r="E51" s="242">
        <f t="shared" si="4"/>
        <v>860160</v>
      </c>
      <c r="F51" s="242">
        <f t="shared" si="4"/>
        <v>860160</v>
      </c>
      <c r="G51" s="242">
        <f t="shared" si="4"/>
        <v>860160</v>
      </c>
      <c r="H51" s="242">
        <f t="shared" si="4"/>
        <v>860160</v>
      </c>
      <c r="I51" s="242">
        <f t="shared" si="4"/>
        <v>860160</v>
      </c>
      <c r="J51" s="242">
        <f t="shared" si="4"/>
        <v>860160</v>
      </c>
      <c r="K51" s="242">
        <f t="shared" si="4"/>
        <v>430080</v>
      </c>
      <c r="L51" s="242">
        <f t="shared" si="4"/>
        <v>430080</v>
      </c>
      <c r="M51" s="242">
        <f t="shared" si="4"/>
        <v>430080</v>
      </c>
      <c r="N51" s="251">
        <f t="shared" si="4"/>
        <v>430080</v>
      </c>
    </row>
    <row r="52" spans="1:14">
      <c r="A52" s="1124"/>
      <c r="B52" s="243" t="str">
        <f>'Master Assumptions'!B223</f>
        <v>Sponge guord</v>
      </c>
      <c r="C52" s="242">
        <f t="shared" ref="C52:N52" si="5">C10*C31</f>
        <v>131712</v>
      </c>
      <c r="D52" s="242">
        <f t="shared" si="5"/>
        <v>131712</v>
      </c>
      <c r="E52" s="242">
        <f t="shared" si="5"/>
        <v>131712</v>
      </c>
      <c r="F52" s="242">
        <f t="shared" si="5"/>
        <v>131712</v>
      </c>
      <c r="G52" s="242">
        <f t="shared" si="5"/>
        <v>131712</v>
      </c>
      <c r="H52" s="242">
        <f t="shared" si="5"/>
        <v>131712</v>
      </c>
      <c r="I52" s="242">
        <f t="shared" si="5"/>
        <v>131712</v>
      </c>
      <c r="J52" s="242">
        <f t="shared" si="5"/>
        <v>131712</v>
      </c>
      <c r="K52" s="242">
        <f t="shared" si="5"/>
        <v>65856</v>
      </c>
      <c r="L52" s="242">
        <f t="shared" si="5"/>
        <v>65856</v>
      </c>
      <c r="M52" s="242">
        <f t="shared" si="5"/>
        <v>65856</v>
      </c>
      <c r="N52" s="251">
        <f t="shared" si="5"/>
        <v>65856</v>
      </c>
    </row>
    <row r="53" spans="1:14">
      <c r="A53" s="1124"/>
      <c r="B53" s="243" t="str">
        <f>'Master Assumptions'!B224</f>
        <v>Cow pea</v>
      </c>
      <c r="C53" s="242">
        <f t="shared" ref="C53:N53" si="6">C11*C32</f>
        <v>1048320</v>
      </c>
      <c r="D53" s="242">
        <f t="shared" si="6"/>
        <v>1048320</v>
      </c>
      <c r="E53" s="242">
        <f t="shared" si="6"/>
        <v>1048320</v>
      </c>
      <c r="F53" s="242">
        <f t="shared" si="6"/>
        <v>1048320</v>
      </c>
      <c r="G53" s="242">
        <f t="shared" si="6"/>
        <v>1048320</v>
      </c>
      <c r="H53" s="242">
        <f t="shared" si="6"/>
        <v>1048320</v>
      </c>
      <c r="I53" s="242">
        <f t="shared" si="6"/>
        <v>1048320</v>
      </c>
      <c r="J53" s="242">
        <f t="shared" si="6"/>
        <v>1048320</v>
      </c>
      <c r="K53" s="242">
        <f t="shared" si="6"/>
        <v>524160</v>
      </c>
      <c r="L53" s="242">
        <f t="shared" si="6"/>
        <v>524160</v>
      </c>
      <c r="M53" s="242">
        <f t="shared" si="6"/>
        <v>524160</v>
      </c>
      <c r="N53" s="251">
        <f t="shared" si="6"/>
        <v>524160</v>
      </c>
    </row>
    <row r="54" spans="1:14">
      <c r="A54" s="1124"/>
      <c r="B54" s="243" t="str">
        <f>'Master Assumptions'!B225</f>
        <v>Green Pea</v>
      </c>
      <c r="C54" s="242">
        <f t="shared" ref="C54:N54" si="7">C12*C33</f>
        <v>824040</v>
      </c>
      <c r="D54" s="242">
        <f t="shared" si="7"/>
        <v>824040</v>
      </c>
      <c r="E54" s="242">
        <f t="shared" si="7"/>
        <v>824040</v>
      </c>
      <c r="F54" s="242">
        <f t="shared" si="7"/>
        <v>824040</v>
      </c>
      <c r="G54" s="242">
        <f t="shared" si="7"/>
        <v>824040</v>
      </c>
      <c r="H54" s="242">
        <f t="shared" si="7"/>
        <v>824040</v>
      </c>
      <c r="I54" s="242">
        <f t="shared" si="7"/>
        <v>824040</v>
      </c>
      <c r="J54" s="242">
        <f t="shared" si="7"/>
        <v>824040</v>
      </c>
      <c r="K54" s="242">
        <f t="shared" si="7"/>
        <v>412020</v>
      </c>
      <c r="L54" s="242">
        <f t="shared" si="7"/>
        <v>412020</v>
      </c>
      <c r="M54" s="242">
        <f t="shared" si="7"/>
        <v>412020</v>
      </c>
      <c r="N54" s="251">
        <f t="shared" si="7"/>
        <v>412020</v>
      </c>
    </row>
    <row r="55" spans="1:14">
      <c r="A55" s="1124"/>
      <c r="B55" s="243" t="str">
        <f>'Master Assumptions'!B226</f>
        <v>Cauliflower</v>
      </c>
      <c r="C55" s="242">
        <f t="shared" ref="C55:N55" si="8">C13*C34</f>
        <v>1270080</v>
      </c>
      <c r="D55" s="242">
        <f t="shared" si="8"/>
        <v>1270080</v>
      </c>
      <c r="E55" s="242">
        <f t="shared" si="8"/>
        <v>1270080</v>
      </c>
      <c r="F55" s="242">
        <f t="shared" si="8"/>
        <v>1270080</v>
      </c>
      <c r="G55" s="242">
        <f t="shared" si="8"/>
        <v>1270080</v>
      </c>
      <c r="H55" s="242">
        <f t="shared" si="8"/>
        <v>1270080</v>
      </c>
      <c r="I55" s="242">
        <f t="shared" si="8"/>
        <v>1270080</v>
      </c>
      <c r="J55" s="242">
        <f t="shared" si="8"/>
        <v>1270080</v>
      </c>
      <c r="K55" s="242">
        <f t="shared" si="8"/>
        <v>635040</v>
      </c>
      <c r="L55" s="242">
        <f t="shared" si="8"/>
        <v>635040</v>
      </c>
      <c r="M55" s="242">
        <f t="shared" si="8"/>
        <v>635040</v>
      </c>
      <c r="N55" s="251">
        <f t="shared" si="8"/>
        <v>635040</v>
      </c>
    </row>
    <row r="56" spans="1:14">
      <c r="A56" s="1124"/>
      <c r="B56" s="243" t="str">
        <f>'Master Assumptions'!B227</f>
        <v>Lady Finger</v>
      </c>
      <c r="C56" s="242">
        <f t="shared" ref="C56:N56" si="9">C14*C35</f>
        <v>377932.79999999999</v>
      </c>
      <c r="D56" s="242">
        <f t="shared" si="9"/>
        <v>377932.79999999999</v>
      </c>
      <c r="E56" s="242">
        <f t="shared" si="9"/>
        <v>377932.79999999999</v>
      </c>
      <c r="F56" s="242">
        <f t="shared" si="9"/>
        <v>377932.79999999999</v>
      </c>
      <c r="G56" s="242">
        <f t="shared" si="9"/>
        <v>377932.79999999999</v>
      </c>
      <c r="H56" s="242">
        <f t="shared" si="9"/>
        <v>377932.79999999999</v>
      </c>
      <c r="I56" s="242">
        <f t="shared" si="9"/>
        <v>377932.79999999999</v>
      </c>
      <c r="J56" s="242">
        <f t="shared" si="9"/>
        <v>377932.79999999999</v>
      </c>
      <c r="K56" s="242">
        <f t="shared" si="9"/>
        <v>188966.39999999999</v>
      </c>
      <c r="L56" s="242">
        <f t="shared" si="9"/>
        <v>188966.39999999999</v>
      </c>
      <c r="M56" s="242">
        <f t="shared" si="9"/>
        <v>188966.39999999999</v>
      </c>
      <c r="N56" s="251">
        <f t="shared" si="9"/>
        <v>188966.39999999999</v>
      </c>
    </row>
    <row r="57" spans="1:14">
      <c r="A57" s="1115"/>
      <c r="B57" s="243" t="str">
        <f>'Master Assumptions'!B228</f>
        <v>Brinjal</v>
      </c>
      <c r="C57" s="242">
        <f t="shared" ref="C57:N57" si="10">C15*C36</f>
        <v>125977.60000000001</v>
      </c>
      <c r="D57" s="242">
        <f t="shared" si="10"/>
        <v>125977.60000000001</v>
      </c>
      <c r="E57" s="242">
        <f t="shared" si="10"/>
        <v>125977.60000000001</v>
      </c>
      <c r="F57" s="242">
        <f t="shared" si="10"/>
        <v>125977.60000000001</v>
      </c>
      <c r="G57" s="242">
        <f t="shared" si="10"/>
        <v>125977.60000000001</v>
      </c>
      <c r="H57" s="242">
        <f t="shared" si="10"/>
        <v>125977.60000000001</v>
      </c>
      <c r="I57" s="242">
        <f t="shared" si="10"/>
        <v>125977.60000000001</v>
      </c>
      <c r="J57" s="242">
        <f t="shared" si="10"/>
        <v>125977.60000000001</v>
      </c>
      <c r="K57" s="242">
        <f t="shared" si="10"/>
        <v>62988.800000000003</v>
      </c>
      <c r="L57" s="242">
        <f t="shared" si="10"/>
        <v>62988.800000000003</v>
      </c>
      <c r="M57" s="242">
        <f t="shared" si="10"/>
        <v>62988.800000000003</v>
      </c>
      <c r="N57" s="251">
        <f t="shared" si="10"/>
        <v>62988.800000000003</v>
      </c>
    </row>
    <row r="58" spans="1:14">
      <c r="A58" s="1119" t="s">
        <v>125</v>
      </c>
      <c r="B58" s="243" t="str">
        <f>'Master Assumptions'!B229</f>
        <v>Wheat - 1544</v>
      </c>
      <c r="C58" s="242">
        <f t="shared" ref="C58:N58" si="11">C16*C37</f>
        <v>728960</v>
      </c>
      <c r="D58" s="242">
        <f t="shared" si="11"/>
        <v>728960</v>
      </c>
      <c r="E58" s="242">
        <f t="shared" si="11"/>
        <v>728960</v>
      </c>
      <c r="F58" s="242">
        <f t="shared" si="11"/>
        <v>728960</v>
      </c>
      <c r="G58" s="242">
        <f t="shared" si="11"/>
        <v>728960</v>
      </c>
      <c r="H58" s="242">
        <f t="shared" si="11"/>
        <v>728960</v>
      </c>
      <c r="I58" s="242">
        <f t="shared" si="11"/>
        <v>728960</v>
      </c>
      <c r="J58" s="242">
        <f t="shared" si="11"/>
        <v>728960</v>
      </c>
      <c r="K58" s="242">
        <f t="shared" si="11"/>
        <v>364480</v>
      </c>
      <c r="L58" s="242">
        <f t="shared" si="11"/>
        <v>364480</v>
      </c>
      <c r="M58" s="242">
        <f t="shared" si="11"/>
        <v>364480</v>
      </c>
      <c r="N58" s="251">
        <f t="shared" si="11"/>
        <v>364480</v>
      </c>
    </row>
    <row r="59" spans="1:14">
      <c r="A59" s="1115"/>
      <c r="B59" s="243" t="str">
        <f>'Master Assumptions'!B230</f>
        <v>Wheat- 273</v>
      </c>
      <c r="C59" s="242">
        <f t="shared" ref="C59:N59" si="12">C17*C38</f>
        <v>5307120</v>
      </c>
      <c r="D59" s="242">
        <f t="shared" si="12"/>
        <v>5307120</v>
      </c>
      <c r="E59" s="242">
        <f t="shared" si="12"/>
        <v>5307120</v>
      </c>
      <c r="F59" s="242">
        <f t="shared" si="12"/>
        <v>5307120</v>
      </c>
      <c r="G59" s="242">
        <f t="shared" si="12"/>
        <v>5307120</v>
      </c>
      <c r="H59" s="242">
        <f t="shared" si="12"/>
        <v>5307120</v>
      </c>
      <c r="I59" s="242">
        <f t="shared" si="12"/>
        <v>5307120</v>
      </c>
      <c r="J59" s="242">
        <f t="shared" si="12"/>
        <v>5307120</v>
      </c>
      <c r="K59" s="242">
        <f t="shared" si="12"/>
        <v>2653560</v>
      </c>
      <c r="L59" s="242">
        <f t="shared" si="12"/>
        <v>2653560</v>
      </c>
      <c r="M59" s="242">
        <f t="shared" si="12"/>
        <v>2653560</v>
      </c>
      <c r="N59" s="251">
        <f t="shared" si="12"/>
        <v>2653560</v>
      </c>
    </row>
    <row r="60" spans="1:14">
      <c r="A60" s="254" t="s">
        <v>253</v>
      </c>
      <c r="B60" s="243" t="str">
        <f>'Master Assumptions'!B231</f>
        <v>Gram - GJ221</v>
      </c>
      <c r="C60" s="242">
        <f t="shared" ref="C60:N60" si="13">C18*C39</f>
        <v>4417680</v>
      </c>
      <c r="D60" s="242">
        <f t="shared" si="13"/>
        <v>4417680</v>
      </c>
      <c r="E60" s="242">
        <f t="shared" si="13"/>
        <v>4417680</v>
      </c>
      <c r="F60" s="242">
        <f t="shared" si="13"/>
        <v>4417680</v>
      </c>
      <c r="G60" s="242">
        <f t="shared" si="13"/>
        <v>4417680</v>
      </c>
      <c r="H60" s="242">
        <f t="shared" si="13"/>
        <v>4417680</v>
      </c>
      <c r="I60" s="242">
        <f t="shared" si="13"/>
        <v>4417680</v>
      </c>
      <c r="J60" s="242">
        <f t="shared" si="13"/>
        <v>4417680</v>
      </c>
      <c r="K60" s="242">
        <f t="shared" si="13"/>
        <v>2208840</v>
      </c>
      <c r="L60" s="242">
        <f t="shared" si="13"/>
        <v>2208840</v>
      </c>
      <c r="M60" s="242">
        <f t="shared" si="13"/>
        <v>2208840</v>
      </c>
      <c r="N60" s="251">
        <f t="shared" si="13"/>
        <v>2208840</v>
      </c>
    </row>
    <row r="61" spans="1:14">
      <c r="A61" s="1124" t="s">
        <v>252</v>
      </c>
      <c r="B61" s="243" t="str">
        <f>'Master Assumptions'!B232</f>
        <v>Water Melon</v>
      </c>
      <c r="C61" s="242">
        <f t="shared" ref="C61:N61" si="14">C19*C40</f>
        <v>1693440</v>
      </c>
      <c r="D61" s="242">
        <f t="shared" si="14"/>
        <v>1693440</v>
      </c>
      <c r="E61" s="242">
        <f t="shared" si="14"/>
        <v>1693440</v>
      </c>
      <c r="F61" s="242">
        <f t="shared" si="14"/>
        <v>1693440</v>
      </c>
      <c r="G61" s="242">
        <f t="shared" si="14"/>
        <v>1693440</v>
      </c>
      <c r="H61" s="242">
        <f t="shared" si="14"/>
        <v>1693440</v>
      </c>
      <c r="I61" s="242">
        <f t="shared" si="14"/>
        <v>1693440</v>
      </c>
      <c r="J61" s="242">
        <f t="shared" si="14"/>
        <v>1693440</v>
      </c>
      <c r="K61" s="242">
        <f t="shared" si="14"/>
        <v>846720</v>
      </c>
      <c r="L61" s="242">
        <f t="shared" si="14"/>
        <v>846720</v>
      </c>
      <c r="M61" s="242">
        <f t="shared" si="14"/>
        <v>846720</v>
      </c>
      <c r="N61" s="251">
        <f t="shared" si="14"/>
        <v>846720</v>
      </c>
    </row>
    <row r="62" spans="1:14">
      <c r="A62" s="1124"/>
      <c r="B62" s="243" t="str">
        <f>'Master Assumptions'!B233</f>
        <v>Muskmelon</v>
      </c>
      <c r="C62" s="242">
        <f t="shared" ref="C62:N62" si="15">C20*C41</f>
        <v>784080</v>
      </c>
      <c r="D62" s="242">
        <f t="shared" si="15"/>
        <v>784080</v>
      </c>
      <c r="E62" s="242">
        <f t="shared" si="15"/>
        <v>784080</v>
      </c>
      <c r="F62" s="242">
        <f t="shared" si="15"/>
        <v>784080</v>
      </c>
      <c r="G62" s="242">
        <f t="shared" si="15"/>
        <v>784080</v>
      </c>
      <c r="H62" s="242">
        <f t="shared" si="15"/>
        <v>784080</v>
      </c>
      <c r="I62" s="242">
        <f t="shared" si="15"/>
        <v>784080</v>
      </c>
      <c r="J62" s="242">
        <f t="shared" si="15"/>
        <v>784080</v>
      </c>
      <c r="K62" s="242">
        <f t="shared" si="15"/>
        <v>392040</v>
      </c>
      <c r="L62" s="242">
        <f t="shared" si="15"/>
        <v>392040</v>
      </c>
      <c r="M62" s="242">
        <f t="shared" si="15"/>
        <v>392040</v>
      </c>
      <c r="N62" s="251">
        <f t="shared" si="15"/>
        <v>392040</v>
      </c>
    </row>
    <row r="63" spans="1:14" ht="16.5" thickBot="1">
      <c r="A63" s="1125"/>
      <c r="B63" s="637" t="str">
        <f>'Master Assumptions'!B234</f>
        <v>Bitter gourd</v>
      </c>
      <c r="C63" s="252">
        <f t="shared" ref="C63:N63" si="16">C21*C42</f>
        <v>1276800</v>
      </c>
      <c r="D63" s="252">
        <f t="shared" si="16"/>
        <v>1276800</v>
      </c>
      <c r="E63" s="252">
        <f t="shared" si="16"/>
        <v>1276800</v>
      </c>
      <c r="F63" s="252">
        <f t="shared" si="16"/>
        <v>1276800</v>
      </c>
      <c r="G63" s="252">
        <f t="shared" si="16"/>
        <v>1276800</v>
      </c>
      <c r="H63" s="252">
        <f t="shared" si="16"/>
        <v>1276800</v>
      </c>
      <c r="I63" s="252">
        <f t="shared" si="16"/>
        <v>1276800</v>
      </c>
      <c r="J63" s="252">
        <f t="shared" si="16"/>
        <v>1276800</v>
      </c>
      <c r="K63" s="252">
        <f t="shared" si="16"/>
        <v>638400</v>
      </c>
      <c r="L63" s="252">
        <f t="shared" si="16"/>
        <v>638400</v>
      </c>
      <c r="M63" s="252">
        <f t="shared" si="16"/>
        <v>638400</v>
      </c>
      <c r="N63" s="253">
        <f t="shared" si="16"/>
        <v>638400</v>
      </c>
    </row>
    <row r="64" spans="1:14">
      <c r="C64" s="288">
        <f t="shared" ref="C64:L64" si="17">SUM(C47:C63)</f>
        <v>18846302.399999999</v>
      </c>
      <c r="D64" s="288">
        <f t="shared" si="17"/>
        <v>18846302.399999999</v>
      </c>
      <c r="E64" s="288">
        <f t="shared" si="17"/>
        <v>18846302.399999999</v>
      </c>
      <c r="F64" s="288">
        <f t="shared" si="17"/>
        <v>20818782.399999999</v>
      </c>
      <c r="G64" s="288">
        <f t="shared" si="17"/>
        <v>30612422.399999999</v>
      </c>
      <c r="H64" s="288">
        <f t="shared" si="17"/>
        <v>33669222.400000006</v>
      </c>
      <c r="I64" s="288">
        <f t="shared" si="17"/>
        <v>25440782.399999999</v>
      </c>
      <c r="J64" s="288">
        <f t="shared" si="17"/>
        <v>26525102.399999999</v>
      </c>
      <c r="K64" s="288">
        <f t="shared" si="17"/>
        <v>9423151.1999999993</v>
      </c>
      <c r="L64" s="288">
        <f t="shared" si="17"/>
        <v>22773551.200000003</v>
      </c>
      <c r="M64" s="288">
        <f t="shared" ref="M64:N64" si="18">SUM(M47:M63)</f>
        <v>11330351.199999999</v>
      </c>
      <c r="N64" s="288">
        <f t="shared" si="18"/>
        <v>13237551.199999999</v>
      </c>
    </row>
    <row r="68" spans="1:14">
      <c r="A68" s="1128" t="s">
        <v>248</v>
      </c>
      <c r="B68" s="1128" t="s">
        <v>119</v>
      </c>
      <c r="C68" s="1128" t="s">
        <v>438</v>
      </c>
      <c r="D68" s="1128"/>
      <c r="E68" s="1128"/>
      <c r="F68" s="1128"/>
      <c r="G68" s="1128"/>
      <c r="H68" s="1128"/>
      <c r="I68" s="1128"/>
      <c r="J68" s="1128"/>
      <c r="K68" s="1128"/>
      <c r="L68" s="1128"/>
      <c r="M68" s="1128"/>
      <c r="N68" s="1128"/>
    </row>
    <row r="69" spans="1:14">
      <c r="A69" s="1128"/>
      <c r="B69" s="1128"/>
      <c r="C69" s="593">
        <v>44652</v>
      </c>
      <c r="D69" s="594">
        <v>44682</v>
      </c>
      <c r="E69" s="593">
        <v>44713</v>
      </c>
      <c r="F69" s="594">
        <v>44743</v>
      </c>
      <c r="G69" s="593">
        <v>44774</v>
      </c>
      <c r="H69" s="594">
        <v>44805</v>
      </c>
      <c r="I69" s="593">
        <v>44835</v>
      </c>
      <c r="J69" s="594">
        <v>44866</v>
      </c>
      <c r="K69" s="593">
        <v>44896</v>
      </c>
      <c r="L69" s="594">
        <v>44927</v>
      </c>
      <c r="M69" s="593">
        <v>44958</v>
      </c>
      <c r="N69" s="594">
        <v>44986</v>
      </c>
    </row>
    <row r="70" spans="1:14">
      <c r="A70" s="1126" t="s">
        <v>124</v>
      </c>
      <c r="B70" s="242" t="str">
        <f>'Master Assumptions'!B218</f>
        <v>Basmati</v>
      </c>
      <c r="C70" s="595">
        <f>C5*'Master Assumptions'!$E$71*C26</f>
        <v>0</v>
      </c>
      <c r="D70" s="595">
        <f>D5*'Master Assumptions'!$E$71*D26</f>
        <v>0</v>
      </c>
      <c r="E70" s="595">
        <f>E5*'Master Assumptions'!$E$71*E26</f>
        <v>0</v>
      </c>
      <c r="F70" s="595">
        <f>F5*'Master Assumptions'!$E$71*F26</f>
        <v>39449.599999999999</v>
      </c>
      <c r="G70" s="595">
        <f>G5*'Master Assumptions'!$E$71*G26</f>
        <v>59174.400000000001</v>
      </c>
      <c r="H70" s="595">
        <f>H5*'Master Assumptions'!$E$71*H26</f>
        <v>98624</v>
      </c>
      <c r="I70" s="595">
        <f>I5*'Master Assumptions'!$E$71*I26</f>
        <v>0</v>
      </c>
      <c r="J70" s="595">
        <f>J5*'Master Assumptions'!$E$71*J26</f>
        <v>0</v>
      </c>
      <c r="K70" s="595">
        <f>K5*'Master Assumptions'!$E$71*K26</f>
        <v>0</v>
      </c>
      <c r="L70" s="595">
        <f>L5*'Master Assumptions'!$E$71*L26</f>
        <v>0</v>
      </c>
      <c r="M70" s="595">
        <f>M5*'Master Assumptions'!$E$71*M26</f>
        <v>0</v>
      </c>
      <c r="N70" s="595">
        <f>N5*'Master Assumptions'!$E$71*N26</f>
        <v>0</v>
      </c>
    </row>
    <row r="71" spans="1:14">
      <c r="A71" s="1126"/>
      <c r="B71" s="243" t="str">
        <f>'Master Assumptions'!B219</f>
        <v>Jordaar</v>
      </c>
      <c r="C71" s="595">
        <f>C6*'Master Assumptions'!$F$71*C27</f>
        <v>0</v>
      </c>
      <c r="D71" s="595">
        <f>D6*'Master Assumptions'!$F$71*D27</f>
        <v>0</v>
      </c>
      <c r="E71" s="595">
        <f>E6*'Master Assumptions'!$F$71*E27</f>
        <v>0</v>
      </c>
      <c r="F71" s="595">
        <f>F6*'Master Assumptions'!$F$71*F27</f>
        <v>0</v>
      </c>
      <c r="G71" s="595">
        <f>G6*'Master Assumptions'!$F$71*G27</f>
        <v>0</v>
      </c>
      <c r="H71" s="595">
        <f>H6*'Master Assumptions'!$F$71*H27</f>
        <v>138218.4</v>
      </c>
      <c r="I71" s="595">
        <f>I6*'Master Assumptions'!$F$71*I27</f>
        <v>92145.599999999991</v>
      </c>
      <c r="J71" s="595">
        <f>J6*'Master Assumptions'!$F$71*J27</f>
        <v>230364</v>
      </c>
      <c r="K71" s="595">
        <f>K6*'Master Assumptions'!$F$71*K27</f>
        <v>0</v>
      </c>
      <c r="L71" s="595">
        <f>L6*'Master Assumptions'!$F$71*L27</f>
        <v>0</v>
      </c>
      <c r="M71" s="595">
        <f>M6*'Master Assumptions'!$F$71*M27</f>
        <v>0</v>
      </c>
      <c r="N71" s="595">
        <f>N6*'Master Assumptions'!$F$71*N27</f>
        <v>0</v>
      </c>
    </row>
    <row r="72" spans="1:14">
      <c r="A72" s="1126"/>
      <c r="B72" s="243" t="str">
        <f>'Master Assumptions'!B220</f>
        <v>Early sona</v>
      </c>
      <c r="C72" s="595">
        <f>C7*'Master Assumptions'!$G$71*C28</f>
        <v>0</v>
      </c>
      <c r="D72" s="595">
        <f>D7*'Master Assumptions'!$G$71*D28</f>
        <v>0</v>
      </c>
      <c r="E72" s="595">
        <f>E7*'Master Assumptions'!$G$71*E28</f>
        <v>0</v>
      </c>
      <c r="F72" s="595">
        <f>F7*'Master Assumptions'!$G$71*F28</f>
        <v>0</v>
      </c>
      <c r="G72" s="595">
        <f>G7*'Master Assumptions'!$G$71*G28</f>
        <v>352296</v>
      </c>
      <c r="H72" s="595">
        <f>H7*'Master Assumptions'!$G$71*H28</f>
        <v>211377.6</v>
      </c>
      <c r="I72" s="595">
        <f>I7*'Master Assumptions'!$G$71*I28</f>
        <v>140918.40000000002</v>
      </c>
      <c r="J72" s="595">
        <f>J7*'Master Assumptions'!$G$71*J28</f>
        <v>0</v>
      </c>
      <c r="K72" s="595">
        <f>K7*'Master Assumptions'!$G$71*K28</f>
        <v>0</v>
      </c>
      <c r="L72" s="595">
        <f>L7*'Master Assumptions'!$G$71*L28</f>
        <v>0</v>
      </c>
      <c r="M72" s="595">
        <f>M7*'Master Assumptions'!$G$71*M28</f>
        <v>0</v>
      </c>
      <c r="N72" s="595">
        <f>N7*'Master Assumptions'!$G$71*N28</f>
        <v>0</v>
      </c>
    </row>
    <row r="73" spans="1:14">
      <c r="A73" s="1126"/>
      <c r="B73" s="243">
        <f>'Master Assumptions'!B221</f>
        <v>1010</v>
      </c>
      <c r="C73" s="595">
        <f>C8*'Master Assumptions'!$H$71*C29</f>
        <v>0</v>
      </c>
      <c r="D73" s="595">
        <f>D8*'Master Assumptions'!$H$71*D29</f>
        <v>0</v>
      </c>
      <c r="E73" s="595">
        <f>E8*'Master Assumptions'!$H$71*E29</f>
        <v>0</v>
      </c>
      <c r="F73" s="595">
        <f>F8*'Master Assumptions'!$H$71*F29</f>
        <v>0</v>
      </c>
      <c r="G73" s="595">
        <f>G8*'Master Assumptions'!$H$71*G29</f>
        <v>0</v>
      </c>
      <c r="H73" s="595">
        <f>H8*'Master Assumptions'!$H$71*H29</f>
        <v>0</v>
      </c>
      <c r="I73" s="595">
        <f>I8*'Master Assumptions'!$H$71*I29</f>
        <v>0</v>
      </c>
      <c r="J73" s="595">
        <f>J8*'Master Assumptions'!$H$71*J29</f>
        <v>0</v>
      </c>
      <c r="K73" s="595">
        <f>K8*'Master Assumptions'!$H$71*K29</f>
        <v>0</v>
      </c>
      <c r="L73" s="595">
        <f>L8*'Master Assumptions'!$H$71*L29</f>
        <v>267008</v>
      </c>
      <c r="M73" s="595">
        <f>M8*'Master Assumptions'!$H$71*M29</f>
        <v>38144</v>
      </c>
      <c r="N73" s="595">
        <f>N8*'Master Assumptions'!$H$71*N29</f>
        <v>76288</v>
      </c>
    </row>
    <row r="74" spans="1:14">
      <c r="A74" s="1126" t="s">
        <v>180</v>
      </c>
      <c r="B74" s="243" t="str">
        <f>'Master Assumptions'!B222</f>
        <v>Bitter gourd</v>
      </c>
      <c r="C74" s="595">
        <f>C9*'Master Assumptions'!$J$71*C30</f>
        <v>34406.400000000001</v>
      </c>
      <c r="D74" s="595">
        <f>D9*'Master Assumptions'!$J$71*D30</f>
        <v>34406.400000000001</v>
      </c>
      <c r="E74" s="595">
        <f>E9*'Master Assumptions'!$J$71*E30</f>
        <v>34406.400000000001</v>
      </c>
      <c r="F74" s="595">
        <f>F9*'Master Assumptions'!$J$71*F30</f>
        <v>34406.400000000001</v>
      </c>
      <c r="G74" s="595">
        <f>G9*'Master Assumptions'!$J$71*G30</f>
        <v>34406.400000000001</v>
      </c>
      <c r="H74" s="595">
        <f>H9*'Master Assumptions'!$J$71*H30</f>
        <v>34406.400000000001</v>
      </c>
      <c r="I74" s="595">
        <f>I9*'Master Assumptions'!$J$71*I30</f>
        <v>34406.400000000001</v>
      </c>
      <c r="J74" s="595">
        <f>J9*'Master Assumptions'!$J$71*J30</f>
        <v>34406.400000000001</v>
      </c>
      <c r="K74" s="595">
        <f>K9*'Master Assumptions'!$J$71*K30</f>
        <v>17203.2</v>
      </c>
      <c r="L74" s="595">
        <f>L9*'Master Assumptions'!$J$71*L30</f>
        <v>17203.2</v>
      </c>
      <c r="M74" s="595">
        <f>M9*'Master Assumptions'!$J$71*M30</f>
        <v>17203.2</v>
      </c>
      <c r="N74" s="595">
        <f>N9*'Master Assumptions'!$J$71*N30</f>
        <v>17203.2</v>
      </c>
    </row>
    <row r="75" spans="1:14">
      <c r="A75" s="1126"/>
      <c r="B75" s="243" t="str">
        <f>'Master Assumptions'!B223</f>
        <v>Sponge guord</v>
      </c>
      <c r="C75" s="595">
        <f>C10*'Master Assumptions'!$K$71*C31</f>
        <v>3951.36</v>
      </c>
      <c r="D75" s="595">
        <f>D10*'Master Assumptions'!$K$71*D31</f>
        <v>3951.36</v>
      </c>
      <c r="E75" s="595">
        <f>E10*'Master Assumptions'!$K$71*E31</f>
        <v>3951.36</v>
      </c>
      <c r="F75" s="595">
        <f>F10*'Master Assumptions'!$K$71*F31</f>
        <v>3951.36</v>
      </c>
      <c r="G75" s="595">
        <f>G10*'Master Assumptions'!$K$71*G31</f>
        <v>3951.36</v>
      </c>
      <c r="H75" s="595">
        <f>H10*'Master Assumptions'!$K$71*H31</f>
        <v>3951.36</v>
      </c>
      <c r="I75" s="595">
        <f>I10*'Master Assumptions'!$K$71*I31</f>
        <v>3951.36</v>
      </c>
      <c r="J75" s="595">
        <f>J10*'Master Assumptions'!$K$71*J31</f>
        <v>3951.36</v>
      </c>
      <c r="K75" s="595">
        <f>K10*'Master Assumptions'!$K$71*K31</f>
        <v>1975.68</v>
      </c>
      <c r="L75" s="595">
        <f>L10*'Master Assumptions'!$K$71*L31</f>
        <v>1975.68</v>
      </c>
      <c r="M75" s="595">
        <f>M10*'Master Assumptions'!$K$71*M31</f>
        <v>1975.68</v>
      </c>
      <c r="N75" s="595">
        <f>N10*'Master Assumptions'!$K$71*N31</f>
        <v>1975.68</v>
      </c>
    </row>
    <row r="76" spans="1:14">
      <c r="A76" s="1126"/>
      <c r="B76" s="243" t="str">
        <f>'Master Assumptions'!B224</f>
        <v>Cow pea</v>
      </c>
      <c r="C76" s="595">
        <f>C11*'Master Assumptions'!$L$71*C32</f>
        <v>20966.400000000001</v>
      </c>
      <c r="D76" s="595">
        <f>D11*'Master Assumptions'!$L$71*D32</f>
        <v>20966.400000000001</v>
      </c>
      <c r="E76" s="595">
        <f>E11*'Master Assumptions'!$L$71*E32</f>
        <v>20966.400000000001</v>
      </c>
      <c r="F76" s="595">
        <f>F11*'Master Assumptions'!$L$71*F32</f>
        <v>20966.400000000001</v>
      </c>
      <c r="G76" s="595">
        <f>G11*'Master Assumptions'!$L$71*G32</f>
        <v>20966.400000000001</v>
      </c>
      <c r="H76" s="595">
        <f>H11*'Master Assumptions'!$L$71*H32</f>
        <v>20966.400000000001</v>
      </c>
      <c r="I76" s="595">
        <f>I11*'Master Assumptions'!$L$71*I32</f>
        <v>20966.400000000001</v>
      </c>
      <c r="J76" s="595">
        <f>J11*'Master Assumptions'!$L$71*J32</f>
        <v>20966.400000000001</v>
      </c>
      <c r="K76" s="595">
        <f>K11*'Master Assumptions'!$L$71*K32</f>
        <v>10483.200000000001</v>
      </c>
      <c r="L76" s="595">
        <f>L11*'Master Assumptions'!$L$71*L32</f>
        <v>10483.200000000001</v>
      </c>
      <c r="M76" s="595">
        <f>M11*'Master Assumptions'!$L$71*M32</f>
        <v>10483.200000000001</v>
      </c>
      <c r="N76" s="595">
        <f>N11*'Master Assumptions'!$L$71*N32</f>
        <v>10483.200000000001</v>
      </c>
    </row>
    <row r="77" spans="1:14">
      <c r="A77" s="1126"/>
      <c r="B77" s="243" t="str">
        <f>'Master Assumptions'!B225</f>
        <v>Green Pea</v>
      </c>
      <c r="C77" s="595">
        <f>C12*'Master Assumptions'!$M$71*C33</f>
        <v>32961.599999999999</v>
      </c>
      <c r="D77" s="595">
        <f>D12*'Master Assumptions'!$M$71*D33</f>
        <v>32961.599999999999</v>
      </c>
      <c r="E77" s="595">
        <f>E12*'Master Assumptions'!$M$71*E33</f>
        <v>32961.599999999999</v>
      </c>
      <c r="F77" s="595">
        <f>F12*'Master Assumptions'!$M$71*F33</f>
        <v>32961.599999999999</v>
      </c>
      <c r="G77" s="595">
        <f>G12*'Master Assumptions'!$M$71*G33</f>
        <v>32961.599999999999</v>
      </c>
      <c r="H77" s="595">
        <f>H12*'Master Assumptions'!$M$71*H33</f>
        <v>32961.599999999999</v>
      </c>
      <c r="I77" s="595">
        <f>I12*'Master Assumptions'!$M$71*I33</f>
        <v>32961.599999999999</v>
      </c>
      <c r="J77" s="595">
        <f>J12*'Master Assumptions'!$M$71*J33</f>
        <v>32961.599999999999</v>
      </c>
      <c r="K77" s="595">
        <f>K12*'Master Assumptions'!$M$71*K33</f>
        <v>16480.8</v>
      </c>
      <c r="L77" s="595">
        <f>L12*'Master Assumptions'!$M$71*L33</f>
        <v>16480.8</v>
      </c>
      <c r="M77" s="595">
        <f>M12*'Master Assumptions'!$M$71*M33</f>
        <v>16480.8</v>
      </c>
      <c r="N77" s="595">
        <f>N12*'Master Assumptions'!$M$71*N33</f>
        <v>16480.8</v>
      </c>
    </row>
    <row r="78" spans="1:14">
      <c r="A78" s="1126"/>
      <c r="B78" s="243" t="str">
        <f>'Master Assumptions'!B226</f>
        <v>Cauliflower</v>
      </c>
      <c r="C78" s="595">
        <f>C13*'Master Assumptions'!$N$71*C34</f>
        <v>38102.400000000001</v>
      </c>
      <c r="D78" s="595">
        <f>D13*'Master Assumptions'!$N$71*D34</f>
        <v>38102.400000000001</v>
      </c>
      <c r="E78" s="595">
        <f>E13*'Master Assumptions'!$N$71*E34</f>
        <v>38102.400000000001</v>
      </c>
      <c r="F78" s="595">
        <f>F13*'Master Assumptions'!$N$71*F34</f>
        <v>38102.400000000001</v>
      </c>
      <c r="G78" s="595">
        <f>G13*'Master Assumptions'!$N$71*G34</f>
        <v>38102.400000000001</v>
      </c>
      <c r="H78" s="595">
        <f>H13*'Master Assumptions'!$N$71*H34</f>
        <v>38102.400000000001</v>
      </c>
      <c r="I78" s="595">
        <f>I13*'Master Assumptions'!$N$71*I34</f>
        <v>38102.400000000001</v>
      </c>
      <c r="J78" s="595">
        <f>J13*'Master Assumptions'!$N$71*J34</f>
        <v>38102.400000000001</v>
      </c>
      <c r="K78" s="595">
        <f>K13*'Master Assumptions'!$N$71*K34</f>
        <v>19051.2</v>
      </c>
      <c r="L78" s="595">
        <f>L13*'Master Assumptions'!$N$71*L34</f>
        <v>19051.2</v>
      </c>
      <c r="M78" s="595">
        <f>M13*'Master Assumptions'!$N$71*M34</f>
        <v>19051.2</v>
      </c>
      <c r="N78" s="595">
        <f>N13*'Master Assumptions'!$N$71*N34</f>
        <v>19051.2</v>
      </c>
    </row>
    <row r="79" spans="1:14">
      <c r="A79" s="1126"/>
      <c r="B79" s="243" t="str">
        <f>'Master Assumptions'!B227</f>
        <v>Lady Finger</v>
      </c>
      <c r="C79" s="595">
        <f>C14*'Master Assumptions'!$O$71*C35</f>
        <v>7558.6559999999999</v>
      </c>
      <c r="D79" s="595">
        <f>D14*'Master Assumptions'!$O$71*D35</f>
        <v>7558.6559999999999</v>
      </c>
      <c r="E79" s="595">
        <f>E14*'Master Assumptions'!$O$71*E35</f>
        <v>7558.6559999999999</v>
      </c>
      <c r="F79" s="595">
        <f>F14*'Master Assumptions'!$O$71*F35</f>
        <v>7558.6559999999999</v>
      </c>
      <c r="G79" s="595">
        <f>G14*'Master Assumptions'!$O$71*G35</f>
        <v>7558.6559999999999</v>
      </c>
      <c r="H79" s="595">
        <f>H14*'Master Assumptions'!$O$71*H35</f>
        <v>7558.6559999999999</v>
      </c>
      <c r="I79" s="595">
        <f>I14*'Master Assumptions'!$O$71*I35</f>
        <v>7558.6559999999999</v>
      </c>
      <c r="J79" s="595">
        <f>J14*'Master Assumptions'!$O$71*J35</f>
        <v>7558.6559999999999</v>
      </c>
      <c r="K79" s="595">
        <f>K14*'Master Assumptions'!$O$71*K35</f>
        <v>3779.328</v>
      </c>
      <c r="L79" s="595">
        <f>L14*'Master Assumptions'!$O$71*L35</f>
        <v>3779.328</v>
      </c>
      <c r="M79" s="595">
        <f>M14*'Master Assumptions'!$O$71*M35</f>
        <v>3779.328</v>
      </c>
      <c r="N79" s="595">
        <f>N14*'Master Assumptions'!$O$71*N35</f>
        <v>3779.328</v>
      </c>
    </row>
    <row r="80" spans="1:14">
      <c r="A80" s="1126"/>
      <c r="B80" s="243" t="str">
        <f>'Master Assumptions'!B228</f>
        <v>Brinjal</v>
      </c>
      <c r="C80" s="595">
        <f>C15*'Master Assumptions'!$P$71*C36</f>
        <v>5039.1040000000003</v>
      </c>
      <c r="D80" s="595">
        <f>D15*'Master Assumptions'!$P$71*D36</f>
        <v>5039.1040000000003</v>
      </c>
      <c r="E80" s="595">
        <f>E15*'Master Assumptions'!$P$71*E36</f>
        <v>5039.1040000000003</v>
      </c>
      <c r="F80" s="595">
        <f>F15*'Master Assumptions'!$P$71*F36</f>
        <v>5039.1040000000003</v>
      </c>
      <c r="G80" s="595">
        <f>G15*'Master Assumptions'!$P$71*G36</f>
        <v>5039.1040000000003</v>
      </c>
      <c r="H80" s="595">
        <f>H15*'Master Assumptions'!$P$71*H36</f>
        <v>5039.1040000000003</v>
      </c>
      <c r="I80" s="595">
        <f>I15*'Master Assumptions'!$P$71*I36</f>
        <v>5039.1040000000003</v>
      </c>
      <c r="J80" s="595">
        <f>J15*'Master Assumptions'!$P$71*J36</f>
        <v>5039.1040000000003</v>
      </c>
      <c r="K80" s="595">
        <f>K15*'Master Assumptions'!$P$71*K36</f>
        <v>2519.5520000000001</v>
      </c>
      <c r="L80" s="595">
        <f>L15*'Master Assumptions'!$P$71*L36</f>
        <v>2519.5520000000001</v>
      </c>
      <c r="M80" s="595">
        <f>M15*'Master Assumptions'!$P$71*M36</f>
        <v>2519.5520000000001</v>
      </c>
      <c r="N80" s="595">
        <f>N15*'Master Assumptions'!$P$71*N36</f>
        <v>2519.5520000000001</v>
      </c>
    </row>
    <row r="81" spans="1:14">
      <c r="A81" s="1126" t="s">
        <v>125</v>
      </c>
      <c r="B81" s="243" t="str">
        <f>'Master Assumptions'!B229</f>
        <v>Wheat - 1544</v>
      </c>
      <c r="C81" s="595">
        <f>C16*'Master Assumptions'!$T$71*C37</f>
        <v>21868.799999999999</v>
      </c>
      <c r="D81" s="595">
        <f>D16*'Master Assumptions'!$T$71*D37</f>
        <v>21868.799999999999</v>
      </c>
      <c r="E81" s="595">
        <f>E16*'Master Assumptions'!$T$71*E37</f>
        <v>21868.799999999999</v>
      </c>
      <c r="F81" s="595">
        <f>F16*'Master Assumptions'!$T$71*F37</f>
        <v>21868.799999999999</v>
      </c>
      <c r="G81" s="595">
        <f>G16*'Master Assumptions'!$T$71*G37</f>
        <v>21868.799999999999</v>
      </c>
      <c r="H81" s="595">
        <f>H16*'Master Assumptions'!$T$71*H37</f>
        <v>21868.799999999999</v>
      </c>
      <c r="I81" s="595">
        <f>I16*'Master Assumptions'!$T$71*I37</f>
        <v>21868.799999999999</v>
      </c>
      <c r="J81" s="595">
        <f>J16*'Master Assumptions'!$T$71*J37</f>
        <v>21868.799999999999</v>
      </c>
      <c r="K81" s="595">
        <f>K16*'Master Assumptions'!$T$71*K37</f>
        <v>10934.4</v>
      </c>
      <c r="L81" s="595">
        <f>L16*'Master Assumptions'!$T$71*L37</f>
        <v>10934.4</v>
      </c>
      <c r="M81" s="595">
        <f>M16*'Master Assumptions'!$T$71*M37</f>
        <v>10934.4</v>
      </c>
      <c r="N81" s="595">
        <f>N16*'Master Assumptions'!$T$71*N37</f>
        <v>10934.4</v>
      </c>
    </row>
    <row r="82" spans="1:14">
      <c r="A82" s="1126"/>
      <c r="B82" s="243" t="str">
        <f>'Master Assumptions'!B230</f>
        <v>Wheat- 273</v>
      </c>
      <c r="C82" s="595">
        <f>C17*'Master Assumptions'!$U$71*C38</f>
        <v>106142.40000000001</v>
      </c>
      <c r="D82" s="595">
        <f>D17*'Master Assumptions'!$U$71*D38</f>
        <v>106142.40000000001</v>
      </c>
      <c r="E82" s="595">
        <f>E17*'Master Assumptions'!$U$71*E38</f>
        <v>106142.40000000001</v>
      </c>
      <c r="F82" s="595">
        <f>F17*'Master Assumptions'!$U$71*F38</f>
        <v>106142.40000000001</v>
      </c>
      <c r="G82" s="595">
        <f>G17*'Master Assumptions'!$U$71*G38</f>
        <v>106142.40000000001</v>
      </c>
      <c r="H82" s="595">
        <f>H17*'Master Assumptions'!$U$71*H38</f>
        <v>106142.40000000001</v>
      </c>
      <c r="I82" s="595">
        <f>I17*'Master Assumptions'!$U$71*I38</f>
        <v>106142.40000000001</v>
      </c>
      <c r="J82" s="595">
        <f>J17*'Master Assumptions'!$U$71*J38</f>
        <v>106142.40000000001</v>
      </c>
      <c r="K82" s="595">
        <f>K17*'Master Assumptions'!$U$71*K38</f>
        <v>53071.200000000004</v>
      </c>
      <c r="L82" s="595">
        <f>L17*'Master Assumptions'!$U$71*L38</f>
        <v>53071.200000000004</v>
      </c>
      <c r="M82" s="595">
        <f>M17*'Master Assumptions'!$U$71*M38</f>
        <v>53071.200000000004</v>
      </c>
      <c r="N82" s="595">
        <f>N17*'Master Assumptions'!$U$71*N38</f>
        <v>53071.200000000004</v>
      </c>
    </row>
    <row r="83" spans="1:14">
      <c r="A83" s="596" t="s">
        <v>253</v>
      </c>
      <c r="B83" s="243" t="str">
        <f>'Master Assumptions'!B231</f>
        <v>Gram - GJ221</v>
      </c>
      <c r="C83" s="595">
        <f>C18*'Master Assumptions'!$V$71*C39</f>
        <v>176707.20000000001</v>
      </c>
      <c r="D83" s="595">
        <f>D18*'Master Assumptions'!$V$71*D39</f>
        <v>176707.20000000001</v>
      </c>
      <c r="E83" s="595">
        <f>E18*'Master Assumptions'!$V$71*E39</f>
        <v>176707.20000000001</v>
      </c>
      <c r="F83" s="595">
        <f>F18*'Master Assumptions'!$V$71*F39</f>
        <v>176707.20000000001</v>
      </c>
      <c r="G83" s="595">
        <f>G18*'Master Assumptions'!$V$71*G39</f>
        <v>176707.20000000001</v>
      </c>
      <c r="H83" s="595">
        <f>H18*'Master Assumptions'!$V$71*H39</f>
        <v>176707.20000000001</v>
      </c>
      <c r="I83" s="595">
        <f>I18*'Master Assumptions'!$V$71*I39</f>
        <v>176707.20000000001</v>
      </c>
      <c r="J83" s="595">
        <f>J18*'Master Assumptions'!$V$71*J39</f>
        <v>176707.20000000001</v>
      </c>
      <c r="K83" s="595">
        <f>K18*'Master Assumptions'!$V$71*K39</f>
        <v>88353.600000000006</v>
      </c>
      <c r="L83" s="595">
        <f>L18*'Master Assumptions'!$V$71*L39</f>
        <v>88353.600000000006</v>
      </c>
      <c r="M83" s="595">
        <f>M18*'Master Assumptions'!$V$71*M39</f>
        <v>88353.600000000006</v>
      </c>
      <c r="N83" s="595">
        <f>N18*'Master Assumptions'!$V$71*N39</f>
        <v>88353.600000000006</v>
      </c>
    </row>
    <row r="84" spans="1:14">
      <c r="A84" s="1126" t="s">
        <v>252</v>
      </c>
      <c r="B84" s="243" t="str">
        <f>'Master Assumptions'!B232</f>
        <v>Water Melon</v>
      </c>
      <c r="C84" s="595">
        <f>C19*'Master Assumptions'!$Q$71*C40</f>
        <v>50803.199999999997</v>
      </c>
      <c r="D84" s="595">
        <f>D19*'Master Assumptions'!$Q$71*D40</f>
        <v>50803.199999999997</v>
      </c>
      <c r="E84" s="595">
        <f>E19*'Master Assumptions'!$Q$71*E40</f>
        <v>50803.199999999997</v>
      </c>
      <c r="F84" s="595">
        <f>F19*'Master Assumptions'!$Q$71*F40</f>
        <v>50803.199999999997</v>
      </c>
      <c r="G84" s="595">
        <f>G19*'Master Assumptions'!$Q$71*G40</f>
        <v>50803.199999999997</v>
      </c>
      <c r="H84" s="595">
        <f>H19*'Master Assumptions'!$Q$71*H40</f>
        <v>50803.199999999997</v>
      </c>
      <c r="I84" s="595">
        <f>I19*'Master Assumptions'!$Q$71*I40</f>
        <v>50803.199999999997</v>
      </c>
      <c r="J84" s="595">
        <f>J19*'Master Assumptions'!$Q$71*J40</f>
        <v>50803.199999999997</v>
      </c>
      <c r="K84" s="595">
        <f>K19*'Master Assumptions'!$Q$71*K40</f>
        <v>25401.599999999999</v>
      </c>
      <c r="L84" s="595">
        <f>L19*'Master Assumptions'!$Q$71*L40</f>
        <v>25401.599999999999</v>
      </c>
      <c r="M84" s="595">
        <f>M19*'Master Assumptions'!$Q$71*M40</f>
        <v>25401.599999999999</v>
      </c>
      <c r="N84" s="595">
        <f>N19*'Master Assumptions'!$Q$71*N40</f>
        <v>25401.599999999999</v>
      </c>
    </row>
    <row r="85" spans="1:14">
      <c r="A85" s="1126"/>
      <c r="B85" s="243" t="str">
        <f>'Master Assumptions'!B233</f>
        <v>Muskmelon</v>
      </c>
      <c r="C85" s="595">
        <f>C20*'Master Assumptions'!$R$71*C41</f>
        <v>15681.599999999999</v>
      </c>
      <c r="D85" s="595">
        <f>D20*'Master Assumptions'!$R$71*D41</f>
        <v>15681.599999999999</v>
      </c>
      <c r="E85" s="595">
        <f>E20*'Master Assumptions'!$R$71*E41</f>
        <v>15681.599999999999</v>
      </c>
      <c r="F85" s="595">
        <f>F20*'Master Assumptions'!$R$71*F41</f>
        <v>15681.599999999999</v>
      </c>
      <c r="G85" s="595">
        <f>G20*'Master Assumptions'!$R$71*G41</f>
        <v>15681.599999999999</v>
      </c>
      <c r="H85" s="595">
        <f>H20*'Master Assumptions'!$R$71*H41</f>
        <v>15681.599999999999</v>
      </c>
      <c r="I85" s="595">
        <f>I20*'Master Assumptions'!$R$71*I41</f>
        <v>15681.599999999999</v>
      </c>
      <c r="J85" s="595">
        <f>J20*'Master Assumptions'!$R$71*J41</f>
        <v>15681.599999999999</v>
      </c>
      <c r="K85" s="595">
        <f>K20*'Master Assumptions'!$R$71*K41</f>
        <v>7840.7999999999993</v>
      </c>
      <c r="L85" s="595">
        <f>L20*'Master Assumptions'!$R$71*L41</f>
        <v>7840.7999999999993</v>
      </c>
      <c r="M85" s="595">
        <f>M20*'Master Assumptions'!$R$71*M41</f>
        <v>7840.7999999999993</v>
      </c>
      <c r="N85" s="595">
        <f>N20*'Master Assumptions'!$R$71*N41</f>
        <v>7840.7999999999993</v>
      </c>
    </row>
    <row r="86" spans="1:14" ht="16.5" thickBot="1">
      <c r="A86" s="1127"/>
      <c r="B86" s="637" t="str">
        <f>'Master Assumptions'!B234</f>
        <v>Bitter gourd</v>
      </c>
      <c r="C86" s="612">
        <f>C21*'Master Assumptions'!$S$71*C42</f>
        <v>51072</v>
      </c>
      <c r="D86" s="612">
        <f>D21*'Master Assumptions'!$S$71*D42</f>
        <v>51072</v>
      </c>
      <c r="E86" s="612">
        <f>E21*'Master Assumptions'!$S$71*E42</f>
        <v>51072</v>
      </c>
      <c r="F86" s="612">
        <f>F21*'Master Assumptions'!$S$71*F42</f>
        <v>51072</v>
      </c>
      <c r="G86" s="612">
        <f>G21*'Master Assumptions'!$S$71*G42</f>
        <v>51072</v>
      </c>
      <c r="H86" s="612">
        <f>H21*'Master Assumptions'!$S$71*H42</f>
        <v>51072</v>
      </c>
      <c r="I86" s="612">
        <f>I21*'Master Assumptions'!$S$71*I42</f>
        <v>51072</v>
      </c>
      <c r="J86" s="612">
        <f>J21*'Master Assumptions'!$S$71*J42</f>
        <v>51072</v>
      </c>
      <c r="K86" s="612">
        <f>K21*'Master Assumptions'!$S$71*K42</f>
        <v>25536</v>
      </c>
      <c r="L86" s="612">
        <f>L21*'Master Assumptions'!$S$71*L42</f>
        <v>25536</v>
      </c>
      <c r="M86" s="612">
        <f>M21*'Master Assumptions'!$S$71*M42</f>
        <v>25536</v>
      </c>
      <c r="N86" s="612">
        <f>N21*'Master Assumptions'!$S$71*N42</f>
        <v>25536</v>
      </c>
    </row>
    <row r="87" spans="1:14" ht="16.5" thickBot="1">
      <c r="A87" s="1129" t="s">
        <v>440</v>
      </c>
      <c r="B87" s="1130"/>
      <c r="C87" s="613">
        <f>SUM(C70:C86)</f>
        <v>565261.12</v>
      </c>
      <c r="D87" s="613">
        <f t="shared" ref="D87:N87" si="19">SUM(D70:D86)</f>
        <v>565261.12</v>
      </c>
      <c r="E87" s="613">
        <f t="shared" si="19"/>
        <v>565261.12</v>
      </c>
      <c r="F87" s="613">
        <f t="shared" si="19"/>
        <v>604710.72</v>
      </c>
      <c r="G87" s="613">
        <f t="shared" si="19"/>
        <v>976731.52000000014</v>
      </c>
      <c r="H87" s="613">
        <f t="shared" si="19"/>
        <v>1013481.12</v>
      </c>
      <c r="I87" s="613">
        <f t="shared" si="19"/>
        <v>798325.12</v>
      </c>
      <c r="J87" s="613">
        <f t="shared" si="19"/>
        <v>795625.12</v>
      </c>
      <c r="K87" s="613">
        <f t="shared" si="19"/>
        <v>282630.56</v>
      </c>
      <c r="L87" s="613">
        <f t="shared" si="19"/>
        <v>549638.56000000006</v>
      </c>
      <c r="M87" s="613">
        <f t="shared" si="19"/>
        <v>320774.56</v>
      </c>
      <c r="N87" s="614">
        <f t="shared" si="19"/>
        <v>358918.56</v>
      </c>
    </row>
  </sheetData>
  <sheetProtection algorithmName="SHA-512" hashValue="10AbblWyBnLUtE4GiNNKEnzTY9bpGN+hCmLcykawjrsFgW7jHEBaKK/O8a4klMCUKcZrjAfFT1NKQ1lmVSZ75Q==" saltValue="JFLNlF0pvwVdS6KGylVq/A==" spinCount="100000" sheet="1" objects="1" scenarios="1"/>
  <mergeCells count="29">
    <mergeCell ref="B3:B4"/>
    <mergeCell ref="C3:N3"/>
    <mergeCell ref="A51:A57"/>
    <mergeCell ref="A58:A59"/>
    <mergeCell ref="A61:A63"/>
    <mergeCell ref="A3:A4"/>
    <mergeCell ref="A47:A50"/>
    <mergeCell ref="A24:A25"/>
    <mergeCell ref="A45:A46"/>
    <mergeCell ref="B45:B46"/>
    <mergeCell ref="C45:N45"/>
    <mergeCell ref="A5:A8"/>
    <mergeCell ref="A9:A15"/>
    <mergeCell ref="A16:A17"/>
    <mergeCell ref="C24:N24"/>
    <mergeCell ref="A26:A29"/>
    <mergeCell ref="A87:B87"/>
    <mergeCell ref="A37:A38"/>
    <mergeCell ref="A40:A42"/>
    <mergeCell ref="C68:N68"/>
    <mergeCell ref="A68:A69"/>
    <mergeCell ref="A19:A21"/>
    <mergeCell ref="B24:B25"/>
    <mergeCell ref="A30:A36"/>
    <mergeCell ref="A81:A82"/>
    <mergeCell ref="A84:A86"/>
    <mergeCell ref="B68:B69"/>
    <mergeCell ref="A70:A73"/>
    <mergeCell ref="A74:A80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629CD-41B2-4FEE-B486-D54B14F26416}">
  <dimension ref="A2:N49"/>
  <sheetViews>
    <sheetView topLeftCell="A31" workbookViewId="0">
      <selection activeCell="A56" sqref="A56"/>
    </sheetView>
  </sheetViews>
  <sheetFormatPr defaultRowHeight="15.75"/>
  <cols>
    <col min="1" max="2" width="17.5703125" style="241" customWidth="1"/>
    <col min="3" max="7" width="14.5703125" style="241" bestFit="1" customWidth="1"/>
    <col min="8" max="8" width="16.28515625" style="241" bestFit="1" customWidth="1"/>
    <col min="9" max="10" width="14.5703125" style="241" bestFit="1" customWidth="1"/>
    <col min="11" max="11" width="13.42578125" style="241" bestFit="1" customWidth="1"/>
    <col min="12" max="12" width="16.28515625" style="241" bestFit="1" customWidth="1"/>
    <col min="13" max="13" width="14.5703125" style="241" bestFit="1" customWidth="1"/>
    <col min="14" max="14" width="16.28515625" style="241" bestFit="1" customWidth="1"/>
    <col min="15" max="16384" width="9.140625" style="241"/>
  </cols>
  <sheetData>
    <row r="2" spans="1:14" ht="16.5" thickBot="1"/>
    <row r="3" spans="1:14" ht="16.5" thickBot="1">
      <c r="A3" s="1108" t="s">
        <v>248</v>
      </c>
      <c r="B3" s="1110" t="s">
        <v>119</v>
      </c>
      <c r="C3" s="1112" t="s">
        <v>126</v>
      </c>
      <c r="D3" s="1113"/>
      <c r="E3" s="1113"/>
      <c r="F3" s="1113"/>
      <c r="G3" s="1113"/>
      <c r="H3" s="1113"/>
      <c r="I3" s="1113"/>
      <c r="J3" s="1113"/>
      <c r="K3" s="1113"/>
      <c r="L3" s="1113"/>
      <c r="M3" s="1113"/>
      <c r="N3" s="1114"/>
    </row>
    <row r="4" spans="1:14" ht="16.5" thickBot="1">
      <c r="A4" s="1109"/>
      <c r="B4" s="1111"/>
      <c r="C4" s="261">
        <v>44652</v>
      </c>
      <c r="D4" s="255">
        <v>44682</v>
      </c>
      <c r="E4" s="261">
        <v>44713</v>
      </c>
      <c r="F4" s="255">
        <v>44743</v>
      </c>
      <c r="G4" s="261">
        <v>44774</v>
      </c>
      <c r="H4" s="255">
        <v>44805</v>
      </c>
      <c r="I4" s="261">
        <v>44835</v>
      </c>
      <c r="J4" s="255">
        <v>44866</v>
      </c>
      <c r="K4" s="261">
        <v>44896</v>
      </c>
      <c r="L4" s="255">
        <v>44927</v>
      </c>
      <c r="M4" s="261">
        <v>44958</v>
      </c>
      <c r="N4" s="255">
        <v>44986</v>
      </c>
    </row>
    <row r="5" spans="1:14">
      <c r="A5" s="1133" t="str">
        <f>'Master Assumptions'!A287</f>
        <v>Reeper</v>
      </c>
      <c r="B5" s="273" t="s">
        <v>305</v>
      </c>
      <c r="C5" s="242">
        <f>'Master Assumptions'!$B$287*'Master Assumptions'!C$287</f>
        <v>0</v>
      </c>
      <c r="D5" s="242">
        <f>'Master Assumptions'!$B$287*'Master Assumptions'!D$287</f>
        <v>200</v>
      </c>
      <c r="E5" s="242">
        <f>'Master Assumptions'!$B$287*'Master Assumptions'!E$287</f>
        <v>400</v>
      </c>
      <c r="F5" s="242">
        <f>'Master Assumptions'!$B$287*'Master Assumptions'!F$287</f>
        <v>0</v>
      </c>
      <c r="G5" s="242">
        <f>'Master Assumptions'!$B$287*'Master Assumptions'!G$287</f>
        <v>200</v>
      </c>
      <c r="H5" s="242">
        <f>'Master Assumptions'!$B$287*'Master Assumptions'!H$287</f>
        <v>400</v>
      </c>
      <c r="I5" s="242">
        <f>'Master Assumptions'!$B$287*'Master Assumptions'!I$287</f>
        <v>200</v>
      </c>
      <c r="J5" s="242">
        <f>'Master Assumptions'!$B$287*'Master Assumptions'!J$287</f>
        <v>400</v>
      </c>
      <c r="K5" s="242">
        <f>'Master Assumptions'!$B$287*'Master Assumptions'!K$287</f>
        <v>0</v>
      </c>
      <c r="L5" s="242">
        <f>'Master Assumptions'!$B$287*'Master Assumptions'!L$287</f>
        <v>0</v>
      </c>
      <c r="M5" s="242">
        <f>'Master Assumptions'!$B$287*'Master Assumptions'!M$287</f>
        <v>100</v>
      </c>
      <c r="N5" s="251">
        <f>'Master Assumptions'!$B$287*'Master Assumptions'!N$287</f>
        <v>100</v>
      </c>
    </row>
    <row r="6" spans="1:14">
      <c r="A6" s="1133"/>
      <c r="B6" s="273" t="s">
        <v>306</v>
      </c>
      <c r="C6" s="242">
        <f>'Master Assumptions'!$B$287*'Master Assumptions'!C$287</f>
        <v>0</v>
      </c>
      <c r="D6" s="242">
        <f>'Master Assumptions'!$B$287*'Master Assumptions'!D$287</f>
        <v>200</v>
      </c>
      <c r="E6" s="242">
        <f>'Master Assumptions'!$B$287*'Master Assumptions'!E$287</f>
        <v>400</v>
      </c>
      <c r="F6" s="242">
        <f>'Master Assumptions'!$B$287*'Master Assumptions'!F$287</f>
        <v>0</v>
      </c>
      <c r="G6" s="242">
        <f>'Master Assumptions'!$B$287*'Master Assumptions'!G$287</f>
        <v>200</v>
      </c>
      <c r="H6" s="242">
        <f>'Master Assumptions'!$B$287*'Master Assumptions'!H$287</f>
        <v>400</v>
      </c>
      <c r="I6" s="242">
        <f>'Master Assumptions'!$B$287*'Master Assumptions'!I$287</f>
        <v>200</v>
      </c>
      <c r="J6" s="242">
        <f>'Master Assumptions'!$B$287*'Master Assumptions'!J$287</f>
        <v>400</v>
      </c>
      <c r="K6" s="242">
        <f>'Master Assumptions'!$B$287*'Master Assumptions'!K$287</f>
        <v>0</v>
      </c>
      <c r="L6" s="242">
        <f>'Master Assumptions'!$B$287*'Master Assumptions'!L$287</f>
        <v>0</v>
      </c>
      <c r="M6" s="242">
        <f>'Master Assumptions'!$B$287*'Master Assumptions'!M$287</f>
        <v>100</v>
      </c>
      <c r="N6" s="251">
        <f>'Master Assumptions'!$B$287*'Master Assumptions'!N$287</f>
        <v>100</v>
      </c>
    </row>
    <row r="7" spans="1:14">
      <c r="A7" s="1133"/>
      <c r="B7" s="295" t="s">
        <v>307</v>
      </c>
      <c r="C7" s="242">
        <f>'Master Assumptions'!$B$287*'Master Assumptions'!C$287</f>
        <v>0</v>
      </c>
      <c r="D7" s="242">
        <f>'Master Assumptions'!$B$287*'Master Assumptions'!D$287</f>
        <v>200</v>
      </c>
      <c r="E7" s="242">
        <f>'Master Assumptions'!$B$287*'Master Assumptions'!E$287</f>
        <v>400</v>
      </c>
      <c r="F7" s="242">
        <f>'Master Assumptions'!$B$287*'Master Assumptions'!F$287</f>
        <v>0</v>
      </c>
      <c r="G7" s="242">
        <f>'Master Assumptions'!$B$287*'Master Assumptions'!G$287</f>
        <v>200</v>
      </c>
      <c r="H7" s="242">
        <f>'Master Assumptions'!$B$287*'Master Assumptions'!H$287</f>
        <v>400</v>
      </c>
      <c r="I7" s="242">
        <f>'Master Assumptions'!$B$287*'Master Assumptions'!I$287</f>
        <v>200</v>
      </c>
      <c r="J7" s="242">
        <f>'Master Assumptions'!$B$287*'Master Assumptions'!J$287</f>
        <v>400</v>
      </c>
      <c r="K7" s="242">
        <f>'Master Assumptions'!$B$287*'Master Assumptions'!K$287</f>
        <v>0</v>
      </c>
      <c r="L7" s="242">
        <f>'Master Assumptions'!$B$287*'Master Assumptions'!L$287</f>
        <v>0</v>
      </c>
      <c r="M7" s="242">
        <f>'Master Assumptions'!$B$287*'Master Assumptions'!M$287</f>
        <v>100</v>
      </c>
      <c r="N7" s="251">
        <f>'Master Assumptions'!$B$287*'Master Assumptions'!N$287</f>
        <v>100</v>
      </c>
    </row>
    <row r="8" spans="1:14" ht="16.5" thickBot="1">
      <c r="A8" s="1134"/>
      <c r="B8" s="296" t="s">
        <v>308</v>
      </c>
      <c r="C8" s="252">
        <f>'Master Assumptions'!$B$287*'Master Assumptions'!C$287</f>
        <v>0</v>
      </c>
      <c r="D8" s="252">
        <f>'Master Assumptions'!$B$287*'Master Assumptions'!D$287</f>
        <v>200</v>
      </c>
      <c r="E8" s="252">
        <f>'Master Assumptions'!$B$287*'Master Assumptions'!E$287</f>
        <v>400</v>
      </c>
      <c r="F8" s="252">
        <f>'Master Assumptions'!$B$287*'Master Assumptions'!F$287</f>
        <v>0</v>
      </c>
      <c r="G8" s="252">
        <f>'Master Assumptions'!$B$287*'Master Assumptions'!G$287</f>
        <v>200</v>
      </c>
      <c r="H8" s="252">
        <f>'Master Assumptions'!$B$287*'Master Assumptions'!H$287</f>
        <v>400</v>
      </c>
      <c r="I8" s="252">
        <f>'Master Assumptions'!$B$287*'Master Assumptions'!I$287</f>
        <v>200</v>
      </c>
      <c r="J8" s="252">
        <f>'Master Assumptions'!$B$287*'Master Assumptions'!J$287</f>
        <v>400</v>
      </c>
      <c r="K8" s="252">
        <f>'Master Assumptions'!$B$287*'Master Assumptions'!K$287</f>
        <v>0</v>
      </c>
      <c r="L8" s="252">
        <f>'Master Assumptions'!$B$287*'Master Assumptions'!L$287</f>
        <v>0</v>
      </c>
      <c r="M8" s="252">
        <f>'Master Assumptions'!$B$287*'Master Assumptions'!M$287</f>
        <v>100</v>
      </c>
      <c r="N8" s="253">
        <f>'Master Assumptions'!$B$287*'Master Assumptions'!N$287</f>
        <v>100</v>
      </c>
    </row>
    <row r="9" spans="1:14">
      <c r="A9" s="1135" t="str">
        <f>'Master Assumptions'!A288</f>
        <v>Thresher</v>
      </c>
      <c r="B9" s="295" t="s">
        <v>305</v>
      </c>
      <c r="C9" s="242">
        <f>'Master Assumptions'!$B$288*'Master Assumptions'!C$288</f>
        <v>0</v>
      </c>
      <c r="D9" s="242">
        <f>'Master Assumptions'!$B$288*'Master Assumptions'!D$288</f>
        <v>200</v>
      </c>
      <c r="E9" s="242">
        <f>'Master Assumptions'!$B$288*'Master Assumptions'!E$288</f>
        <v>400</v>
      </c>
      <c r="F9" s="242">
        <f>'Master Assumptions'!$B$288*'Master Assumptions'!F$288</f>
        <v>0</v>
      </c>
      <c r="G9" s="242">
        <f>'Master Assumptions'!$B$288*'Master Assumptions'!G$288</f>
        <v>200</v>
      </c>
      <c r="H9" s="242">
        <f>'Master Assumptions'!$B$288*'Master Assumptions'!H$288</f>
        <v>400</v>
      </c>
      <c r="I9" s="242">
        <f>'Master Assumptions'!$B$288*'Master Assumptions'!I$288</f>
        <v>200</v>
      </c>
      <c r="J9" s="242">
        <f>'Master Assumptions'!$B$288*'Master Assumptions'!J$288</f>
        <v>400</v>
      </c>
      <c r="K9" s="242">
        <f>'Master Assumptions'!$B$288*'Master Assumptions'!K$288</f>
        <v>0</v>
      </c>
      <c r="L9" s="242">
        <f>'Master Assumptions'!$B$288*'Master Assumptions'!L$288</f>
        <v>0</v>
      </c>
      <c r="M9" s="242">
        <f>'Master Assumptions'!$B$288*'Master Assumptions'!M$288</f>
        <v>100</v>
      </c>
      <c r="N9" s="251">
        <f>'Master Assumptions'!$B$288*'Master Assumptions'!N$288</f>
        <v>100</v>
      </c>
    </row>
    <row r="10" spans="1:14">
      <c r="A10" s="1135"/>
      <c r="B10" s="295" t="s">
        <v>309</v>
      </c>
      <c r="C10" s="242">
        <f>'Master Assumptions'!$B$288*'Master Assumptions'!C$288</f>
        <v>0</v>
      </c>
      <c r="D10" s="242">
        <f>'Master Assumptions'!$B$288*'Master Assumptions'!D$288</f>
        <v>200</v>
      </c>
      <c r="E10" s="242">
        <f>'Master Assumptions'!$B$288*'Master Assumptions'!E$288</f>
        <v>400</v>
      </c>
      <c r="F10" s="242">
        <f>'Master Assumptions'!$B$288*'Master Assumptions'!F$288</f>
        <v>0</v>
      </c>
      <c r="G10" s="242">
        <f>'Master Assumptions'!$B$288*'Master Assumptions'!G$288</f>
        <v>200</v>
      </c>
      <c r="H10" s="242">
        <f>'Master Assumptions'!$B$288*'Master Assumptions'!H$288</f>
        <v>400</v>
      </c>
      <c r="I10" s="242">
        <f>'Master Assumptions'!$B$288*'Master Assumptions'!I$288</f>
        <v>200</v>
      </c>
      <c r="J10" s="242">
        <f>'Master Assumptions'!$B$288*'Master Assumptions'!J$288</f>
        <v>400</v>
      </c>
      <c r="K10" s="242">
        <f>'Master Assumptions'!$B$288*'Master Assumptions'!K$288</f>
        <v>0</v>
      </c>
      <c r="L10" s="242">
        <f>'Master Assumptions'!$B$288*'Master Assumptions'!L$288</f>
        <v>0</v>
      </c>
      <c r="M10" s="242">
        <f>'Master Assumptions'!$B$288*'Master Assumptions'!M$288</f>
        <v>100</v>
      </c>
      <c r="N10" s="251">
        <f>'Master Assumptions'!$B$288*'Master Assumptions'!N$288</f>
        <v>100</v>
      </c>
    </row>
    <row r="11" spans="1:14">
      <c r="A11" s="1135"/>
      <c r="B11" s="295" t="s">
        <v>310</v>
      </c>
      <c r="C11" s="242">
        <f>'Master Assumptions'!$B$288*'Master Assumptions'!C$288</f>
        <v>0</v>
      </c>
      <c r="D11" s="242">
        <f>'Master Assumptions'!$B$288*'Master Assumptions'!D$288</f>
        <v>200</v>
      </c>
      <c r="E11" s="242">
        <f>'Master Assumptions'!$B$288*'Master Assumptions'!E$288</f>
        <v>400</v>
      </c>
      <c r="F11" s="242">
        <f>'Master Assumptions'!$B$288*'Master Assumptions'!F$288</f>
        <v>0</v>
      </c>
      <c r="G11" s="242">
        <f>'Master Assumptions'!$B$288*'Master Assumptions'!G$288</f>
        <v>200</v>
      </c>
      <c r="H11" s="242">
        <f>'Master Assumptions'!$B$288*'Master Assumptions'!H$288</f>
        <v>400</v>
      </c>
      <c r="I11" s="242">
        <f>'Master Assumptions'!$B$288*'Master Assumptions'!I$288</f>
        <v>200</v>
      </c>
      <c r="J11" s="242">
        <f>'Master Assumptions'!$B$288*'Master Assumptions'!J$288</f>
        <v>400</v>
      </c>
      <c r="K11" s="242">
        <f>'Master Assumptions'!$B$288*'Master Assumptions'!K$288</f>
        <v>0</v>
      </c>
      <c r="L11" s="242">
        <f>'Master Assumptions'!$B$288*'Master Assumptions'!L$288</f>
        <v>0</v>
      </c>
      <c r="M11" s="242">
        <f>'Master Assumptions'!$B$288*'Master Assumptions'!M$288</f>
        <v>100</v>
      </c>
      <c r="N11" s="251">
        <f>'Master Assumptions'!$B$288*'Master Assumptions'!N$288</f>
        <v>100</v>
      </c>
    </row>
    <row r="12" spans="1:14" ht="16.5" thickBot="1">
      <c r="A12" s="1135"/>
      <c r="B12" s="295" t="s">
        <v>311</v>
      </c>
      <c r="C12" s="242">
        <f>'Master Assumptions'!$B$288*'Master Assumptions'!C$288</f>
        <v>0</v>
      </c>
      <c r="D12" s="242">
        <f>'Master Assumptions'!$B$288*'Master Assumptions'!D$288</f>
        <v>200</v>
      </c>
      <c r="E12" s="242">
        <f>'Master Assumptions'!$B$288*'Master Assumptions'!E$288</f>
        <v>400</v>
      </c>
      <c r="F12" s="242">
        <f>'Master Assumptions'!$B$288*'Master Assumptions'!F$288</f>
        <v>0</v>
      </c>
      <c r="G12" s="242">
        <f>'Master Assumptions'!$B$288*'Master Assumptions'!G$288</f>
        <v>200</v>
      </c>
      <c r="H12" s="242">
        <f>'Master Assumptions'!$B$288*'Master Assumptions'!H$288</f>
        <v>400</v>
      </c>
      <c r="I12" s="242">
        <f>'Master Assumptions'!$B$288*'Master Assumptions'!I$288</f>
        <v>200</v>
      </c>
      <c r="J12" s="242">
        <f>'Master Assumptions'!$B$288*'Master Assumptions'!J$288</f>
        <v>400</v>
      </c>
      <c r="K12" s="242">
        <f>'Master Assumptions'!$B$288*'Master Assumptions'!K$288</f>
        <v>0</v>
      </c>
      <c r="L12" s="242">
        <f>'Master Assumptions'!$B$288*'Master Assumptions'!L$288</f>
        <v>0</v>
      </c>
      <c r="M12" s="242">
        <f>'Master Assumptions'!$B$288*'Master Assumptions'!M$288</f>
        <v>100</v>
      </c>
      <c r="N12" s="251">
        <f>'Master Assumptions'!$B$288*'Master Assumptions'!N$288</f>
        <v>100</v>
      </c>
    </row>
    <row r="13" spans="1:14" ht="16.5" thickBot="1">
      <c r="A13" s="294" t="str">
        <f>'Master Assumptions'!A289</f>
        <v>Sprayer</v>
      </c>
      <c r="B13" s="297" t="s">
        <v>305</v>
      </c>
      <c r="C13" s="298">
        <f>'Master Assumptions'!$B$289*'Master Assumptions'!C289</f>
        <v>0</v>
      </c>
      <c r="D13" s="298">
        <f>'Master Assumptions'!$B$289*'Master Assumptions'!D289</f>
        <v>200</v>
      </c>
      <c r="E13" s="298">
        <f>'Master Assumptions'!$B$289*'Master Assumptions'!E289</f>
        <v>400</v>
      </c>
      <c r="F13" s="298">
        <f>'Master Assumptions'!$B$289*'Master Assumptions'!F289</f>
        <v>0</v>
      </c>
      <c r="G13" s="298">
        <f>'Master Assumptions'!$B$289*'Master Assumptions'!G289</f>
        <v>200</v>
      </c>
      <c r="H13" s="298">
        <f>'Master Assumptions'!$B$289*'Master Assumptions'!H289</f>
        <v>400</v>
      </c>
      <c r="I13" s="298">
        <f>'Master Assumptions'!$B$289*'Master Assumptions'!I289</f>
        <v>200</v>
      </c>
      <c r="J13" s="298">
        <f>'Master Assumptions'!$B$289*'Master Assumptions'!J289</f>
        <v>400</v>
      </c>
      <c r="K13" s="298">
        <f>'Master Assumptions'!$B$289*'Master Assumptions'!K289</f>
        <v>0</v>
      </c>
      <c r="L13" s="298">
        <f>'Master Assumptions'!$B$289*'Master Assumptions'!L289</f>
        <v>0</v>
      </c>
      <c r="M13" s="298">
        <f>'Master Assumptions'!$B$289*'Master Assumptions'!M289</f>
        <v>100</v>
      </c>
      <c r="N13" s="299">
        <f>'Master Assumptions'!$B$289*'Master Assumptions'!N289</f>
        <v>100</v>
      </c>
    </row>
    <row r="14" spans="1:14" ht="16.5" thickBot="1">
      <c r="A14" s="294" t="str">
        <f>'Master Assumptions'!A290</f>
        <v>Ploughing</v>
      </c>
      <c r="B14" s="297" t="s">
        <v>311</v>
      </c>
      <c r="C14" s="298">
        <f>'Master Assumptions'!$B$289*'Master Assumptions'!C290</f>
        <v>0</v>
      </c>
      <c r="D14" s="298">
        <f>'Master Assumptions'!$B$289*'Master Assumptions'!D290</f>
        <v>200</v>
      </c>
      <c r="E14" s="298">
        <f>'Master Assumptions'!$B$289*'Master Assumptions'!E290</f>
        <v>400</v>
      </c>
      <c r="F14" s="298">
        <f>'Master Assumptions'!$B$289*'Master Assumptions'!F290</f>
        <v>0</v>
      </c>
      <c r="G14" s="298">
        <f>'Master Assumptions'!$B$289*'Master Assumptions'!G290</f>
        <v>200</v>
      </c>
      <c r="H14" s="298">
        <f>'Master Assumptions'!$B$289*'Master Assumptions'!H290</f>
        <v>400</v>
      </c>
      <c r="I14" s="298">
        <f>'Master Assumptions'!$B$289*'Master Assumptions'!I290</f>
        <v>200</v>
      </c>
      <c r="J14" s="298">
        <f>'Master Assumptions'!$B$289*'Master Assumptions'!J290</f>
        <v>400</v>
      </c>
      <c r="K14" s="298">
        <f>'Master Assumptions'!$B$289*'Master Assumptions'!K290</f>
        <v>0</v>
      </c>
      <c r="L14" s="298">
        <f>'Master Assumptions'!$B$289*'Master Assumptions'!L290</f>
        <v>0</v>
      </c>
      <c r="M14" s="298">
        <f>'Master Assumptions'!$B$289*'Master Assumptions'!M290</f>
        <v>100</v>
      </c>
      <c r="N14" s="299">
        <f>'Master Assumptions'!$B$289*'Master Assumptions'!N290</f>
        <v>100</v>
      </c>
    </row>
    <row r="15" spans="1:14" ht="16.5" thickBot="1">
      <c r="A15" s="294" t="str">
        <f>'Master Assumptions'!A291</f>
        <v>Soil testing</v>
      </c>
      <c r="B15" s="297" t="s">
        <v>315</v>
      </c>
      <c r="C15" s="298">
        <f>'Master Assumptions'!$B$289*'Master Assumptions'!C291</f>
        <v>0</v>
      </c>
      <c r="D15" s="298">
        <f>'Master Assumptions'!$B$289*'Master Assumptions'!D291</f>
        <v>200</v>
      </c>
      <c r="E15" s="298">
        <f>'Master Assumptions'!$B$289*'Master Assumptions'!E291</f>
        <v>400</v>
      </c>
      <c r="F15" s="298">
        <f>'Master Assumptions'!$B$289*'Master Assumptions'!F291</f>
        <v>0</v>
      </c>
      <c r="G15" s="298">
        <f>'Master Assumptions'!$B$289*'Master Assumptions'!G291</f>
        <v>200</v>
      </c>
      <c r="H15" s="298">
        <f>'Master Assumptions'!$B$289*'Master Assumptions'!H291</f>
        <v>400</v>
      </c>
      <c r="I15" s="298">
        <f>'Master Assumptions'!$B$289*'Master Assumptions'!I291</f>
        <v>200</v>
      </c>
      <c r="J15" s="298">
        <f>'Master Assumptions'!$B$289*'Master Assumptions'!J291</f>
        <v>400</v>
      </c>
      <c r="K15" s="298">
        <f>'Master Assumptions'!$B$289*'Master Assumptions'!K291</f>
        <v>0</v>
      </c>
      <c r="L15" s="298">
        <f>'Master Assumptions'!$B$289*'Master Assumptions'!L291</f>
        <v>0</v>
      </c>
      <c r="M15" s="298">
        <f>'Master Assumptions'!$B$289*'Master Assumptions'!M291</f>
        <v>100</v>
      </c>
      <c r="N15" s="299">
        <f>'Master Assumptions'!$B$289*'Master Assumptions'!N291</f>
        <v>100</v>
      </c>
    </row>
    <row r="16" spans="1:14" ht="16.5" thickBot="1">
      <c r="A16" s="294" t="str">
        <f>'Master Assumptions'!A292</f>
        <v>Tillering</v>
      </c>
      <c r="B16" s="297" t="s">
        <v>311</v>
      </c>
      <c r="C16" s="298">
        <f>'Master Assumptions'!$B$289*'Master Assumptions'!C292</f>
        <v>0</v>
      </c>
      <c r="D16" s="298">
        <f>'Master Assumptions'!$B$289*'Master Assumptions'!D292</f>
        <v>200</v>
      </c>
      <c r="E16" s="298">
        <f>'Master Assumptions'!$B$289*'Master Assumptions'!E292</f>
        <v>400</v>
      </c>
      <c r="F16" s="298">
        <f>'Master Assumptions'!$B$289*'Master Assumptions'!F292</f>
        <v>0</v>
      </c>
      <c r="G16" s="298">
        <f>'Master Assumptions'!$B$289*'Master Assumptions'!G292</f>
        <v>200</v>
      </c>
      <c r="H16" s="298">
        <f>'Master Assumptions'!$B$289*'Master Assumptions'!H292</f>
        <v>400</v>
      </c>
      <c r="I16" s="298">
        <f>'Master Assumptions'!$B$289*'Master Assumptions'!I292</f>
        <v>200</v>
      </c>
      <c r="J16" s="298">
        <f>'Master Assumptions'!$B$289*'Master Assumptions'!J292</f>
        <v>400</v>
      </c>
      <c r="K16" s="298">
        <f>'Master Assumptions'!$B$289*'Master Assumptions'!K292</f>
        <v>0</v>
      </c>
      <c r="L16" s="298">
        <f>'Master Assumptions'!$B$289*'Master Assumptions'!L292</f>
        <v>0</v>
      </c>
      <c r="M16" s="298">
        <f>'Master Assumptions'!$B$289*'Master Assumptions'!M292</f>
        <v>100</v>
      </c>
      <c r="N16" s="299">
        <f>'Master Assumptions'!$B$289*'Master Assumptions'!N292</f>
        <v>100</v>
      </c>
    </row>
    <row r="18" spans="1:14" ht="16.5" thickBot="1"/>
    <row r="19" spans="1:14" ht="16.5" thickBot="1">
      <c r="A19" s="1108" t="s">
        <v>248</v>
      </c>
      <c r="B19" s="1110" t="s">
        <v>119</v>
      </c>
      <c r="C19" s="1112" t="s">
        <v>242</v>
      </c>
      <c r="D19" s="1113"/>
      <c r="E19" s="1113"/>
      <c r="F19" s="1113"/>
      <c r="G19" s="1113"/>
      <c r="H19" s="1113"/>
      <c r="I19" s="1113"/>
      <c r="J19" s="1113"/>
      <c r="K19" s="1113"/>
      <c r="L19" s="1113"/>
      <c r="M19" s="1113"/>
      <c r="N19" s="1114"/>
    </row>
    <row r="20" spans="1:14" ht="16.5" thickBot="1">
      <c r="A20" s="1109"/>
      <c r="B20" s="1111"/>
      <c r="C20" s="261">
        <v>44652</v>
      </c>
      <c r="D20" s="255">
        <v>44682</v>
      </c>
      <c r="E20" s="261">
        <v>44713</v>
      </c>
      <c r="F20" s="255">
        <v>44743</v>
      </c>
      <c r="G20" s="261">
        <v>44774</v>
      </c>
      <c r="H20" s="255">
        <v>44805</v>
      </c>
      <c r="I20" s="261">
        <v>44835</v>
      </c>
      <c r="J20" s="255">
        <v>44866</v>
      </c>
      <c r="K20" s="261">
        <v>44896</v>
      </c>
      <c r="L20" s="255">
        <v>44927</v>
      </c>
      <c r="M20" s="261">
        <v>44958</v>
      </c>
      <c r="N20" s="255">
        <v>44986</v>
      </c>
    </row>
    <row r="21" spans="1:14">
      <c r="A21" s="1133" t="str">
        <f>A5</f>
        <v>Reeper</v>
      </c>
      <c r="B21" s="273" t="s">
        <v>305</v>
      </c>
      <c r="C21" s="242">
        <f>'Master Assumptions'!O298</f>
        <v>74</v>
      </c>
      <c r="D21" s="242">
        <f>'Master Assumptions'!O298</f>
        <v>74</v>
      </c>
      <c r="E21" s="242">
        <f>'Master Assumptions'!O298</f>
        <v>74</v>
      </c>
      <c r="F21" s="242">
        <f>'Master Assumptions'!P298</f>
        <v>74</v>
      </c>
      <c r="G21" s="242">
        <f>'Master Assumptions'!P298</f>
        <v>74</v>
      </c>
      <c r="H21" s="242">
        <f>'Master Assumptions'!P298</f>
        <v>74</v>
      </c>
      <c r="I21" s="242">
        <f>'Master Assumptions'!Q298</f>
        <v>74</v>
      </c>
      <c r="J21" s="242">
        <f>'Master Assumptions'!Q298</f>
        <v>74</v>
      </c>
      <c r="K21" s="242">
        <f>'Master Assumptions'!Q298</f>
        <v>74</v>
      </c>
      <c r="L21" s="242">
        <f>'Master Assumptions'!R298</f>
        <v>74</v>
      </c>
      <c r="M21" s="242">
        <f>'Master Assumptions'!R298</f>
        <v>74</v>
      </c>
      <c r="N21" s="251">
        <f>'Master Assumptions'!R298</f>
        <v>74</v>
      </c>
    </row>
    <row r="22" spans="1:14">
      <c r="A22" s="1133"/>
      <c r="B22" s="273" t="s">
        <v>306</v>
      </c>
      <c r="C22" s="242">
        <f>'Master Assumptions'!O299</f>
        <v>79</v>
      </c>
      <c r="D22" s="242">
        <f>'Master Assumptions'!O299</f>
        <v>79</v>
      </c>
      <c r="E22" s="242">
        <f>'Master Assumptions'!O299</f>
        <v>79</v>
      </c>
      <c r="F22" s="242">
        <f>'Master Assumptions'!P299</f>
        <v>79</v>
      </c>
      <c r="G22" s="242">
        <f>'Master Assumptions'!P299</f>
        <v>79</v>
      </c>
      <c r="H22" s="242">
        <f>'Master Assumptions'!P299</f>
        <v>79</v>
      </c>
      <c r="I22" s="242">
        <f>'Master Assumptions'!Q299</f>
        <v>79</v>
      </c>
      <c r="J22" s="242">
        <f>'Master Assumptions'!Q299</f>
        <v>79</v>
      </c>
      <c r="K22" s="242">
        <f>'Master Assumptions'!Q299</f>
        <v>79</v>
      </c>
      <c r="L22" s="242">
        <f>'Master Assumptions'!R299</f>
        <v>79</v>
      </c>
      <c r="M22" s="242">
        <f>'Master Assumptions'!R299</f>
        <v>79</v>
      </c>
      <c r="N22" s="251">
        <f>'Master Assumptions'!R299</f>
        <v>79</v>
      </c>
    </row>
    <row r="23" spans="1:14">
      <c r="A23" s="1133"/>
      <c r="B23" s="295" t="s">
        <v>307</v>
      </c>
      <c r="C23" s="242">
        <f>'Master Assumptions'!O300</f>
        <v>63</v>
      </c>
      <c r="D23" s="242">
        <f>'Master Assumptions'!O300</f>
        <v>63</v>
      </c>
      <c r="E23" s="242">
        <f>'Master Assumptions'!O300</f>
        <v>63</v>
      </c>
      <c r="F23" s="242">
        <f>'Master Assumptions'!P300</f>
        <v>63</v>
      </c>
      <c r="G23" s="242">
        <f>'Master Assumptions'!P300</f>
        <v>63</v>
      </c>
      <c r="H23" s="242">
        <f>'Master Assumptions'!P300</f>
        <v>63</v>
      </c>
      <c r="I23" s="242">
        <f>'Master Assumptions'!Q300</f>
        <v>63</v>
      </c>
      <c r="J23" s="242">
        <f>'Master Assumptions'!Q300</f>
        <v>63</v>
      </c>
      <c r="K23" s="242">
        <f>'Master Assumptions'!Q300</f>
        <v>63</v>
      </c>
      <c r="L23" s="242">
        <f>'Master Assumptions'!R300</f>
        <v>63</v>
      </c>
      <c r="M23" s="242">
        <f>'Master Assumptions'!R300</f>
        <v>63</v>
      </c>
      <c r="N23" s="251">
        <f>'Master Assumptions'!R300</f>
        <v>63</v>
      </c>
    </row>
    <row r="24" spans="1:14" ht="16.5" thickBot="1">
      <c r="A24" s="1134"/>
      <c r="B24" s="296" t="s">
        <v>308</v>
      </c>
      <c r="C24" s="252">
        <f>'Master Assumptions'!O301</f>
        <v>32</v>
      </c>
      <c r="D24" s="252">
        <f>'Master Assumptions'!O301</f>
        <v>32</v>
      </c>
      <c r="E24" s="252">
        <f>'Master Assumptions'!O301</f>
        <v>32</v>
      </c>
      <c r="F24" s="252">
        <f>'Master Assumptions'!P301</f>
        <v>32</v>
      </c>
      <c r="G24" s="252">
        <f>'Master Assumptions'!P301</f>
        <v>32</v>
      </c>
      <c r="H24" s="252">
        <f>'Master Assumptions'!P301</f>
        <v>32</v>
      </c>
      <c r="I24" s="252">
        <f>'Master Assumptions'!Q301</f>
        <v>32</v>
      </c>
      <c r="J24" s="252">
        <f>'Master Assumptions'!Q301</f>
        <v>32</v>
      </c>
      <c r="K24" s="252">
        <f>'Master Assumptions'!Q301</f>
        <v>32</v>
      </c>
      <c r="L24" s="252">
        <f>'Master Assumptions'!R301</f>
        <v>32</v>
      </c>
      <c r="M24" s="252">
        <f>'Master Assumptions'!R301</f>
        <v>32</v>
      </c>
      <c r="N24" s="253">
        <f>'Master Assumptions'!R301</f>
        <v>32</v>
      </c>
    </row>
    <row r="25" spans="1:14">
      <c r="A25" s="1135" t="str">
        <f>A9</f>
        <v>Thresher</v>
      </c>
      <c r="B25" s="295" t="s">
        <v>305</v>
      </c>
      <c r="C25" s="242">
        <f>'Master Assumptions'!O302</f>
        <v>96</v>
      </c>
      <c r="D25" s="242">
        <f>'Master Assumptions'!O302</f>
        <v>96</v>
      </c>
      <c r="E25" s="242">
        <f>'Master Assumptions'!O302</f>
        <v>96</v>
      </c>
      <c r="F25" s="242">
        <f>'Master Assumptions'!P302</f>
        <v>96</v>
      </c>
      <c r="G25" s="242">
        <f>'Master Assumptions'!P302</f>
        <v>96</v>
      </c>
      <c r="H25" s="242">
        <f>'Master Assumptions'!P302</f>
        <v>96</v>
      </c>
      <c r="I25" s="242">
        <f>'Master Assumptions'!Q302</f>
        <v>96</v>
      </c>
      <c r="J25" s="242">
        <f>'Master Assumptions'!Q302</f>
        <v>96</v>
      </c>
      <c r="K25" s="242">
        <f>'Master Assumptions'!Q302</f>
        <v>96</v>
      </c>
      <c r="L25" s="242">
        <f>'Master Assumptions'!R302</f>
        <v>96</v>
      </c>
      <c r="M25" s="242">
        <f>'Master Assumptions'!R302</f>
        <v>96</v>
      </c>
      <c r="N25" s="251">
        <f>'Master Assumptions'!R302</f>
        <v>96</v>
      </c>
    </row>
    <row r="26" spans="1:14">
      <c r="A26" s="1135"/>
      <c r="B26" s="295" t="s">
        <v>309</v>
      </c>
      <c r="C26" s="242">
        <f>'Master Assumptions'!O303</f>
        <v>42</v>
      </c>
      <c r="D26" s="242">
        <f>'Master Assumptions'!O303</f>
        <v>42</v>
      </c>
      <c r="E26" s="242">
        <f>'Master Assumptions'!O303</f>
        <v>42</v>
      </c>
      <c r="F26" s="242">
        <f>'Master Assumptions'!P303</f>
        <v>42</v>
      </c>
      <c r="G26" s="242">
        <f>'Master Assumptions'!P303</f>
        <v>42</v>
      </c>
      <c r="H26" s="242">
        <f>'Master Assumptions'!P303</f>
        <v>42</v>
      </c>
      <c r="I26" s="242">
        <f>'Master Assumptions'!Q303</f>
        <v>42</v>
      </c>
      <c r="J26" s="242">
        <f>'Master Assumptions'!Q303</f>
        <v>42</v>
      </c>
      <c r="K26" s="242">
        <f>'Master Assumptions'!Q303</f>
        <v>42</v>
      </c>
      <c r="L26" s="242">
        <f>'Master Assumptions'!R303</f>
        <v>42</v>
      </c>
      <c r="M26" s="242">
        <f>'Master Assumptions'!R303</f>
        <v>42</v>
      </c>
      <c r="N26" s="251">
        <f>'Master Assumptions'!R303</f>
        <v>42</v>
      </c>
    </row>
    <row r="27" spans="1:14">
      <c r="A27" s="1135"/>
      <c r="B27" s="295" t="s">
        <v>310</v>
      </c>
      <c r="C27" s="242">
        <f>'Master Assumptions'!O304</f>
        <v>90</v>
      </c>
      <c r="D27" s="242">
        <f>'Master Assumptions'!O304</f>
        <v>90</v>
      </c>
      <c r="E27" s="242">
        <f>'Master Assumptions'!O304</f>
        <v>90</v>
      </c>
      <c r="F27" s="242">
        <f>'Master Assumptions'!P304</f>
        <v>90</v>
      </c>
      <c r="G27" s="242">
        <f>'Master Assumptions'!P304</f>
        <v>90</v>
      </c>
      <c r="H27" s="242">
        <f>'Master Assumptions'!P304</f>
        <v>90</v>
      </c>
      <c r="I27" s="242">
        <f>'Master Assumptions'!Q304</f>
        <v>90</v>
      </c>
      <c r="J27" s="242">
        <f>'Master Assumptions'!Q304</f>
        <v>90</v>
      </c>
      <c r="K27" s="242">
        <f>'Master Assumptions'!Q304</f>
        <v>90</v>
      </c>
      <c r="L27" s="242">
        <f>'Master Assumptions'!R304</f>
        <v>90</v>
      </c>
      <c r="M27" s="242">
        <f>'Master Assumptions'!R304</f>
        <v>90</v>
      </c>
      <c r="N27" s="251">
        <f>'Master Assumptions'!R304</f>
        <v>90</v>
      </c>
    </row>
    <row r="28" spans="1:14" ht="16.5" thickBot="1">
      <c r="A28" s="1135"/>
      <c r="B28" s="295" t="s">
        <v>311</v>
      </c>
      <c r="C28" s="242">
        <f>'Master Assumptions'!O305</f>
        <v>420</v>
      </c>
      <c r="D28" s="242">
        <f>'Master Assumptions'!O305</f>
        <v>420</v>
      </c>
      <c r="E28" s="242">
        <f>'Master Assumptions'!O305</f>
        <v>420</v>
      </c>
      <c r="F28" s="242">
        <f>'Master Assumptions'!P305</f>
        <v>420</v>
      </c>
      <c r="G28" s="242">
        <f>'Master Assumptions'!P305</f>
        <v>420</v>
      </c>
      <c r="H28" s="242">
        <f>'Master Assumptions'!P305</f>
        <v>420</v>
      </c>
      <c r="I28" s="242">
        <f>'Master Assumptions'!Q305</f>
        <v>420</v>
      </c>
      <c r="J28" s="242">
        <f>'Master Assumptions'!Q305</f>
        <v>420</v>
      </c>
      <c r="K28" s="242">
        <f>'Master Assumptions'!Q305</f>
        <v>420</v>
      </c>
      <c r="L28" s="242">
        <f>'Master Assumptions'!R305</f>
        <v>420</v>
      </c>
      <c r="M28" s="242">
        <f>'Master Assumptions'!R305</f>
        <v>420</v>
      </c>
      <c r="N28" s="251">
        <f>'Master Assumptions'!R305</f>
        <v>420</v>
      </c>
    </row>
    <row r="29" spans="1:14" ht="16.5" thickBot="1">
      <c r="A29" s="294" t="str">
        <f>A13</f>
        <v>Sprayer</v>
      </c>
      <c r="B29" s="297" t="s">
        <v>305</v>
      </c>
      <c r="C29" s="298">
        <f>'Master Assumptions'!O306</f>
        <v>68</v>
      </c>
      <c r="D29" s="298">
        <f>'Master Assumptions'!O306</f>
        <v>68</v>
      </c>
      <c r="E29" s="298">
        <f>'Master Assumptions'!O306</f>
        <v>68</v>
      </c>
      <c r="F29" s="298">
        <f>'Master Assumptions'!P306</f>
        <v>68</v>
      </c>
      <c r="G29" s="298">
        <f>'Master Assumptions'!P306</f>
        <v>68</v>
      </c>
      <c r="H29" s="298">
        <f>'Master Assumptions'!P306</f>
        <v>68</v>
      </c>
      <c r="I29" s="298">
        <f>'Master Assumptions'!Q306</f>
        <v>68</v>
      </c>
      <c r="J29" s="298">
        <f>'Master Assumptions'!Q306</f>
        <v>68</v>
      </c>
      <c r="K29" s="298">
        <f>'Master Assumptions'!Q306</f>
        <v>68</v>
      </c>
      <c r="L29" s="298">
        <f>'Master Assumptions'!R306</f>
        <v>68</v>
      </c>
      <c r="M29" s="298">
        <f>'Master Assumptions'!R306</f>
        <v>68</v>
      </c>
      <c r="N29" s="299">
        <f>'Master Assumptions'!R306</f>
        <v>68</v>
      </c>
    </row>
    <row r="30" spans="1:14" ht="16.5" thickBot="1">
      <c r="A30" s="294" t="str">
        <f>A14</f>
        <v>Ploughing</v>
      </c>
      <c r="B30" s="297" t="s">
        <v>311</v>
      </c>
      <c r="C30" s="298">
        <f>'Master Assumptions'!O307</f>
        <v>158</v>
      </c>
      <c r="D30" s="298">
        <f>'Master Assumptions'!O307</f>
        <v>158</v>
      </c>
      <c r="E30" s="298">
        <f>'Master Assumptions'!O307</f>
        <v>158</v>
      </c>
      <c r="F30" s="298">
        <f>'Master Assumptions'!P307</f>
        <v>158</v>
      </c>
      <c r="G30" s="298">
        <f>'Master Assumptions'!P307</f>
        <v>158</v>
      </c>
      <c r="H30" s="298">
        <f>'Master Assumptions'!P307</f>
        <v>158</v>
      </c>
      <c r="I30" s="298">
        <f>'Master Assumptions'!Q307</f>
        <v>158</v>
      </c>
      <c r="J30" s="298">
        <f>'Master Assumptions'!Q307</f>
        <v>158</v>
      </c>
      <c r="K30" s="298">
        <f>'Master Assumptions'!Q307</f>
        <v>158</v>
      </c>
      <c r="L30" s="298">
        <f>'Master Assumptions'!R307</f>
        <v>158</v>
      </c>
      <c r="M30" s="298">
        <f>'Master Assumptions'!R307</f>
        <v>158</v>
      </c>
      <c r="N30" s="299">
        <f>'Master Assumptions'!R307</f>
        <v>158</v>
      </c>
    </row>
    <row r="31" spans="1:14" ht="16.5" thickBot="1">
      <c r="A31" s="294" t="str">
        <f>A15</f>
        <v>Soil testing</v>
      </c>
      <c r="B31" s="297" t="s">
        <v>315</v>
      </c>
      <c r="C31" s="298">
        <f>'Master Assumptions'!O308</f>
        <v>252</v>
      </c>
      <c r="D31" s="298">
        <f>'Master Assumptions'!O308</f>
        <v>252</v>
      </c>
      <c r="E31" s="298">
        <f>'Master Assumptions'!O308</f>
        <v>252</v>
      </c>
      <c r="F31" s="298">
        <f>'Master Assumptions'!P308</f>
        <v>252</v>
      </c>
      <c r="G31" s="298">
        <f>'Master Assumptions'!P308</f>
        <v>252</v>
      </c>
      <c r="H31" s="298">
        <f>'Master Assumptions'!P308</f>
        <v>252</v>
      </c>
      <c r="I31" s="298">
        <f>'Master Assumptions'!Q308</f>
        <v>252</v>
      </c>
      <c r="J31" s="298">
        <f>'Master Assumptions'!Q308</f>
        <v>252</v>
      </c>
      <c r="K31" s="298">
        <f>'Master Assumptions'!Q308</f>
        <v>252</v>
      </c>
      <c r="L31" s="298">
        <f>'Master Assumptions'!R308</f>
        <v>252</v>
      </c>
      <c r="M31" s="298">
        <f>'Master Assumptions'!R308</f>
        <v>252</v>
      </c>
      <c r="N31" s="299">
        <f>'Master Assumptions'!R308</f>
        <v>252</v>
      </c>
    </row>
    <row r="32" spans="1:14" ht="16.5" thickBot="1">
      <c r="A32" s="294" t="str">
        <f>A16</f>
        <v>Tillering</v>
      </c>
      <c r="B32" s="297" t="s">
        <v>311</v>
      </c>
      <c r="C32" s="298">
        <f>'Master Assumptions'!O309</f>
        <v>252</v>
      </c>
      <c r="D32" s="298">
        <f>'Master Assumptions'!O309</f>
        <v>252</v>
      </c>
      <c r="E32" s="298">
        <f>'Master Assumptions'!O309</f>
        <v>252</v>
      </c>
      <c r="F32" s="298">
        <f>'Master Assumptions'!P309</f>
        <v>252</v>
      </c>
      <c r="G32" s="298">
        <f>'Master Assumptions'!P309</f>
        <v>252</v>
      </c>
      <c r="H32" s="298">
        <f>'Master Assumptions'!P309</f>
        <v>252</v>
      </c>
      <c r="I32" s="298">
        <f>'Master Assumptions'!Q309</f>
        <v>252</v>
      </c>
      <c r="J32" s="298">
        <f>'Master Assumptions'!Q309</f>
        <v>252</v>
      </c>
      <c r="K32" s="298">
        <f>'Master Assumptions'!Q309</f>
        <v>252</v>
      </c>
      <c r="L32" s="298">
        <f>'Master Assumptions'!R309</f>
        <v>252</v>
      </c>
      <c r="M32" s="298">
        <f>'Master Assumptions'!R309</f>
        <v>252</v>
      </c>
      <c r="N32" s="299">
        <f>'Master Assumptions'!R309</f>
        <v>252</v>
      </c>
    </row>
    <row r="34" spans="1:14" ht="16.5" thickBot="1"/>
    <row r="35" spans="1:14" ht="16.5" thickBot="1">
      <c r="A35" s="1108" t="s">
        <v>248</v>
      </c>
      <c r="B35" s="1110" t="s">
        <v>119</v>
      </c>
      <c r="C35" s="1112" t="s">
        <v>47</v>
      </c>
      <c r="D35" s="1113"/>
      <c r="E35" s="1113"/>
      <c r="F35" s="1113"/>
      <c r="G35" s="1113"/>
      <c r="H35" s="1113"/>
      <c r="I35" s="1113"/>
      <c r="J35" s="1113"/>
      <c r="K35" s="1113"/>
      <c r="L35" s="1113"/>
      <c r="M35" s="1113"/>
      <c r="N35" s="1114"/>
    </row>
    <row r="36" spans="1:14" ht="16.5" thickBot="1">
      <c r="A36" s="1109"/>
      <c r="B36" s="1111"/>
      <c r="C36" s="261">
        <v>44652</v>
      </c>
      <c r="D36" s="255">
        <v>44682</v>
      </c>
      <c r="E36" s="261">
        <v>44713</v>
      </c>
      <c r="F36" s="255">
        <v>44743</v>
      </c>
      <c r="G36" s="261">
        <v>44774</v>
      </c>
      <c r="H36" s="255">
        <v>44805</v>
      </c>
      <c r="I36" s="261">
        <v>44835</v>
      </c>
      <c r="J36" s="255">
        <v>44866</v>
      </c>
      <c r="K36" s="261">
        <v>44896</v>
      </c>
      <c r="L36" s="255">
        <v>44927</v>
      </c>
      <c r="M36" s="261">
        <v>44958</v>
      </c>
      <c r="N36" s="255">
        <v>44986</v>
      </c>
    </row>
    <row r="37" spans="1:14">
      <c r="A37" s="1133" t="str">
        <f>A21</f>
        <v>Reeper</v>
      </c>
      <c r="B37" s="273" t="s">
        <v>305</v>
      </c>
      <c r="C37" s="242">
        <f t="shared" ref="C37:N37" si="0">C5*C21</f>
        <v>0</v>
      </c>
      <c r="D37" s="242">
        <f t="shared" si="0"/>
        <v>14800</v>
      </c>
      <c r="E37" s="242">
        <f t="shared" si="0"/>
        <v>29600</v>
      </c>
      <c r="F37" s="242">
        <f t="shared" si="0"/>
        <v>0</v>
      </c>
      <c r="G37" s="242">
        <f t="shared" si="0"/>
        <v>14800</v>
      </c>
      <c r="H37" s="242">
        <f t="shared" si="0"/>
        <v>29600</v>
      </c>
      <c r="I37" s="242">
        <f t="shared" si="0"/>
        <v>14800</v>
      </c>
      <c r="J37" s="242">
        <f t="shared" si="0"/>
        <v>29600</v>
      </c>
      <c r="K37" s="242">
        <f t="shared" si="0"/>
        <v>0</v>
      </c>
      <c r="L37" s="242">
        <f t="shared" si="0"/>
        <v>0</v>
      </c>
      <c r="M37" s="242">
        <f t="shared" si="0"/>
        <v>7400</v>
      </c>
      <c r="N37" s="251">
        <f t="shared" si="0"/>
        <v>7400</v>
      </c>
    </row>
    <row r="38" spans="1:14">
      <c r="A38" s="1133"/>
      <c r="B38" s="273" t="s">
        <v>306</v>
      </c>
      <c r="C38" s="242">
        <f t="shared" ref="C38:N38" si="1">C6*C22</f>
        <v>0</v>
      </c>
      <c r="D38" s="242">
        <f t="shared" si="1"/>
        <v>15800</v>
      </c>
      <c r="E38" s="242">
        <f t="shared" si="1"/>
        <v>31600</v>
      </c>
      <c r="F38" s="242">
        <f t="shared" si="1"/>
        <v>0</v>
      </c>
      <c r="G38" s="242">
        <f t="shared" si="1"/>
        <v>15800</v>
      </c>
      <c r="H38" s="242">
        <f t="shared" si="1"/>
        <v>31600</v>
      </c>
      <c r="I38" s="242">
        <f t="shared" si="1"/>
        <v>15800</v>
      </c>
      <c r="J38" s="242">
        <f t="shared" si="1"/>
        <v>31600</v>
      </c>
      <c r="K38" s="242">
        <f t="shared" si="1"/>
        <v>0</v>
      </c>
      <c r="L38" s="242">
        <f t="shared" si="1"/>
        <v>0</v>
      </c>
      <c r="M38" s="242">
        <f t="shared" si="1"/>
        <v>7900</v>
      </c>
      <c r="N38" s="251">
        <f t="shared" si="1"/>
        <v>7900</v>
      </c>
    </row>
    <row r="39" spans="1:14">
      <c r="A39" s="1133"/>
      <c r="B39" s="295" t="s">
        <v>307</v>
      </c>
      <c r="C39" s="242">
        <f t="shared" ref="C39:N39" si="2">C7*C23</f>
        <v>0</v>
      </c>
      <c r="D39" s="242">
        <f t="shared" si="2"/>
        <v>12600</v>
      </c>
      <c r="E39" s="242">
        <f t="shared" si="2"/>
        <v>25200</v>
      </c>
      <c r="F39" s="242">
        <f t="shared" si="2"/>
        <v>0</v>
      </c>
      <c r="G39" s="242">
        <f t="shared" si="2"/>
        <v>12600</v>
      </c>
      <c r="H39" s="242">
        <f t="shared" si="2"/>
        <v>25200</v>
      </c>
      <c r="I39" s="242">
        <f t="shared" si="2"/>
        <v>12600</v>
      </c>
      <c r="J39" s="242">
        <f t="shared" si="2"/>
        <v>25200</v>
      </c>
      <c r="K39" s="242">
        <f t="shared" si="2"/>
        <v>0</v>
      </c>
      <c r="L39" s="242">
        <f t="shared" si="2"/>
        <v>0</v>
      </c>
      <c r="M39" s="242">
        <f t="shared" si="2"/>
        <v>6300</v>
      </c>
      <c r="N39" s="251">
        <f t="shared" si="2"/>
        <v>6300</v>
      </c>
    </row>
    <row r="40" spans="1:14" ht="16.5" thickBot="1">
      <c r="A40" s="1134"/>
      <c r="B40" s="296" t="s">
        <v>308</v>
      </c>
      <c r="C40" s="252">
        <f t="shared" ref="C40:N40" si="3">C8*C24</f>
        <v>0</v>
      </c>
      <c r="D40" s="252">
        <f t="shared" si="3"/>
        <v>6400</v>
      </c>
      <c r="E40" s="252">
        <f t="shared" si="3"/>
        <v>12800</v>
      </c>
      <c r="F40" s="252">
        <f t="shared" si="3"/>
        <v>0</v>
      </c>
      <c r="G40" s="252">
        <f t="shared" si="3"/>
        <v>6400</v>
      </c>
      <c r="H40" s="252">
        <f t="shared" si="3"/>
        <v>12800</v>
      </c>
      <c r="I40" s="252">
        <f t="shared" si="3"/>
        <v>6400</v>
      </c>
      <c r="J40" s="252">
        <f t="shared" si="3"/>
        <v>12800</v>
      </c>
      <c r="K40" s="252">
        <f t="shared" si="3"/>
        <v>0</v>
      </c>
      <c r="L40" s="252">
        <f t="shared" si="3"/>
        <v>0</v>
      </c>
      <c r="M40" s="252">
        <f t="shared" si="3"/>
        <v>3200</v>
      </c>
      <c r="N40" s="253">
        <f t="shared" si="3"/>
        <v>3200</v>
      </c>
    </row>
    <row r="41" spans="1:14">
      <c r="A41" s="1135" t="str">
        <f>A25</f>
        <v>Thresher</v>
      </c>
      <c r="B41" s="295" t="s">
        <v>305</v>
      </c>
      <c r="C41" s="242">
        <f t="shared" ref="C41:N41" si="4">C9*C25</f>
        <v>0</v>
      </c>
      <c r="D41" s="242">
        <f t="shared" si="4"/>
        <v>19200</v>
      </c>
      <c r="E41" s="242">
        <f t="shared" si="4"/>
        <v>38400</v>
      </c>
      <c r="F41" s="242">
        <f t="shared" si="4"/>
        <v>0</v>
      </c>
      <c r="G41" s="242">
        <f t="shared" si="4"/>
        <v>19200</v>
      </c>
      <c r="H41" s="242">
        <f t="shared" si="4"/>
        <v>38400</v>
      </c>
      <c r="I41" s="242">
        <f t="shared" si="4"/>
        <v>19200</v>
      </c>
      <c r="J41" s="242">
        <f t="shared" si="4"/>
        <v>38400</v>
      </c>
      <c r="K41" s="242">
        <f t="shared" si="4"/>
        <v>0</v>
      </c>
      <c r="L41" s="242">
        <f t="shared" si="4"/>
        <v>0</v>
      </c>
      <c r="M41" s="242">
        <f t="shared" si="4"/>
        <v>9600</v>
      </c>
      <c r="N41" s="251">
        <f t="shared" si="4"/>
        <v>9600</v>
      </c>
    </row>
    <row r="42" spans="1:14">
      <c r="A42" s="1135"/>
      <c r="B42" s="295" t="s">
        <v>309</v>
      </c>
      <c r="C42" s="242">
        <f t="shared" ref="C42:N42" si="5">C10*C26</f>
        <v>0</v>
      </c>
      <c r="D42" s="242">
        <f t="shared" si="5"/>
        <v>8400</v>
      </c>
      <c r="E42" s="242">
        <f t="shared" si="5"/>
        <v>16800</v>
      </c>
      <c r="F42" s="242">
        <f t="shared" si="5"/>
        <v>0</v>
      </c>
      <c r="G42" s="242">
        <f t="shared" si="5"/>
        <v>8400</v>
      </c>
      <c r="H42" s="242">
        <f t="shared" si="5"/>
        <v>16800</v>
      </c>
      <c r="I42" s="242">
        <f t="shared" si="5"/>
        <v>8400</v>
      </c>
      <c r="J42" s="242">
        <f t="shared" si="5"/>
        <v>16800</v>
      </c>
      <c r="K42" s="242">
        <f t="shared" si="5"/>
        <v>0</v>
      </c>
      <c r="L42" s="242">
        <f t="shared" si="5"/>
        <v>0</v>
      </c>
      <c r="M42" s="242">
        <f t="shared" si="5"/>
        <v>4200</v>
      </c>
      <c r="N42" s="251">
        <f t="shared" si="5"/>
        <v>4200</v>
      </c>
    </row>
    <row r="43" spans="1:14">
      <c r="A43" s="1135"/>
      <c r="B43" s="295" t="s">
        <v>310</v>
      </c>
      <c r="C43" s="242">
        <f t="shared" ref="C43:N43" si="6">C11*C27</f>
        <v>0</v>
      </c>
      <c r="D43" s="242">
        <f t="shared" si="6"/>
        <v>18000</v>
      </c>
      <c r="E43" s="242">
        <f t="shared" si="6"/>
        <v>36000</v>
      </c>
      <c r="F43" s="242">
        <f t="shared" si="6"/>
        <v>0</v>
      </c>
      <c r="G43" s="242">
        <f t="shared" si="6"/>
        <v>18000</v>
      </c>
      <c r="H43" s="242">
        <f t="shared" si="6"/>
        <v>36000</v>
      </c>
      <c r="I43" s="242">
        <f t="shared" si="6"/>
        <v>18000</v>
      </c>
      <c r="J43" s="242">
        <f t="shared" si="6"/>
        <v>36000</v>
      </c>
      <c r="K43" s="242">
        <f t="shared" si="6"/>
        <v>0</v>
      </c>
      <c r="L43" s="242">
        <f t="shared" si="6"/>
        <v>0</v>
      </c>
      <c r="M43" s="242">
        <f t="shared" si="6"/>
        <v>9000</v>
      </c>
      <c r="N43" s="251">
        <f t="shared" si="6"/>
        <v>9000</v>
      </c>
    </row>
    <row r="44" spans="1:14" ht="16.5" thickBot="1">
      <c r="A44" s="1135"/>
      <c r="B44" s="295" t="s">
        <v>311</v>
      </c>
      <c r="C44" s="242">
        <f t="shared" ref="C44:N44" si="7">C12*C28</f>
        <v>0</v>
      </c>
      <c r="D44" s="242">
        <f t="shared" si="7"/>
        <v>84000</v>
      </c>
      <c r="E44" s="242">
        <f t="shared" si="7"/>
        <v>168000</v>
      </c>
      <c r="F44" s="242">
        <f t="shared" si="7"/>
        <v>0</v>
      </c>
      <c r="G44" s="242">
        <f t="shared" si="7"/>
        <v>84000</v>
      </c>
      <c r="H44" s="242">
        <f t="shared" si="7"/>
        <v>168000</v>
      </c>
      <c r="I44" s="242">
        <f t="shared" si="7"/>
        <v>84000</v>
      </c>
      <c r="J44" s="242">
        <f t="shared" si="7"/>
        <v>168000</v>
      </c>
      <c r="K44" s="242">
        <f t="shared" si="7"/>
        <v>0</v>
      </c>
      <c r="L44" s="242">
        <f t="shared" si="7"/>
        <v>0</v>
      </c>
      <c r="M44" s="242">
        <f t="shared" si="7"/>
        <v>42000</v>
      </c>
      <c r="N44" s="251">
        <f t="shared" si="7"/>
        <v>42000</v>
      </c>
    </row>
    <row r="45" spans="1:14" ht="16.5" thickBot="1">
      <c r="A45" s="294" t="str">
        <f>A29</f>
        <v>Sprayer</v>
      </c>
      <c r="B45" s="297" t="s">
        <v>305</v>
      </c>
      <c r="C45" s="298">
        <f t="shared" ref="C45:N45" si="8">C13*C29</f>
        <v>0</v>
      </c>
      <c r="D45" s="298">
        <f t="shared" si="8"/>
        <v>13600</v>
      </c>
      <c r="E45" s="298">
        <f t="shared" si="8"/>
        <v>27200</v>
      </c>
      <c r="F45" s="298">
        <f t="shared" si="8"/>
        <v>0</v>
      </c>
      <c r="G45" s="298">
        <f t="shared" si="8"/>
        <v>13600</v>
      </c>
      <c r="H45" s="298">
        <f t="shared" si="8"/>
        <v>27200</v>
      </c>
      <c r="I45" s="298">
        <f t="shared" si="8"/>
        <v>13600</v>
      </c>
      <c r="J45" s="298">
        <f t="shared" si="8"/>
        <v>27200</v>
      </c>
      <c r="K45" s="298">
        <f t="shared" si="8"/>
        <v>0</v>
      </c>
      <c r="L45" s="298">
        <f t="shared" si="8"/>
        <v>0</v>
      </c>
      <c r="M45" s="298">
        <f t="shared" si="8"/>
        <v>6800</v>
      </c>
      <c r="N45" s="299">
        <f t="shared" si="8"/>
        <v>6800</v>
      </c>
    </row>
    <row r="46" spans="1:14" ht="16.5" thickBot="1">
      <c r="A46" s="294" t="str">
        <f>A30</f>
        <v>Ploughing</v>
      </c>
      <c r="B46" s="297" t="s">
        <v>311</v>
      </c>
      <c r="C46" s="298">
        <f t="shared" ref="C46:N46" si="9">C14*C30</f>
        <v>0</v>
      </c>
      <c r="D46" s="298">
        <f t="shared" si="9"/>
        <v>31600</v>
      </c>
      <c r="E46" s="298">
        <f t="shared" si="9"/>
        <v>63200</v>
      </c>
      <c r="F46" s="298">
        <f t="shared" si="9"/>
        <v>0</v>
      </c>
      <c r="G46" s="298">
        <f t="shared" si="9"/>
        <v>31600</v>
      </c>
      <c r="H46" s="298">
        <f t="shared" si="9"/>
        <v>63200</v>
      </c>
      <c r="I46" s="298">
        <f t="shared" si="9"/>
        <v>31600</v>
      </c>
      <c r="J46" s="298">
        <f t="shared" si="9"/>
        <v>63200</v>
      </c>
      <c r="K46" s="298">
        <f t="shared" si="9"/>
        <v>0</v>
      </c>
      <c r="L46" s="298">
        <f t="shared" si="9"/>
        <v>0</v>
      </c>
      <c r="M46" s="298">
        <f t="shared" si="9"/>
        <v>15800</v>
      </c>
      <c r="N46" s="299">
        <f t="shared" si="9"/>
        <v>15800</v>
      </c>
    </row>
    <row r="47" spans="1:14" ht="16.5" thickBot="1">
      <c r="A47" s="294" t="str">
        <f>A31</f>
        <v>Soil testing</v>
      </c>
      <c r="B47" s="297" t="s">
        <v>315</v>
      </c>
      <c r="C47" s="298">
        <f t="shared" ref="C47:N47" si="10">C15*C31</f>
        <v>0</v>
      </c>
      <c r="D47" s="298">
        <f t="shared" si="10"/>
        <v>50400</v>
      </c>
      <c r="E47" s="298">
        <f t="shared" si="10"/>
        <v>100800</v>
      </c>
      <c r="F47" s="298">
        <f t="shared" si="10"/>
        <v>0</v>
      </c>
      <c r="G47" s="298">
        <f t="shared" si="10"/>
        <v>50400</v>
      </c>
      <c r="H47" s="298">
        <f t="shared" si="10"/>
        <v>100800</v>
      </c>
      <c r="I47" s="298">
        <f t="shared" si="10"/>
        <v>50400</v>
      </c>
      <c r="J47" s="298">
        <f t="shared" si="10"/>
        <v>100800</v>
      </c>
      <c r="K47" s="298">
        <f t="shared" si="10"/>
        <v>0</v>
      </c>
      <c r="L47" s="298">
        <f t="shared" si="10"/>
        <v>0</v>
      </c>
      <c r="M47" s="298">
        <f t="shared" si="10"/>
        <v>25200</v>
      </c>
      <c r="N47" s="299">
        <f t="shared" si="10"/>
        <v>25200</v>
      </c>
    </row>
    <row r="48" spans="1:14" ht="16.5" thickBot="1">
      <c r="A48" s="294" t="str">
        <f>A32</f>
        <v>Tillering</v>
      </c>
      <c r="B48" s="297" t="s">
        <v>311</v>
      </c>
      <c r="C48" s="298">
        <f t="shared" ref="C48:N48" si="11">C16*C32</f>
        <v>0</v>
      </c>
      <c r="D48" s="298">
        <f t="shared" si="11"/>
        <v>50400</v>
      </c>
      <c r="E48" s="298">
        <f t="shared" si="11"/>
        <v>100800</v>
      </c>
      <c r="F48" s="298">
        <f t="shared" si="11"/>
        <v>0</v>
      </c>
      <c r="G48" s="298">
        <f t="shared" si="11"/>
        <v>50400</v>
      </c>
      <c r="H48" s="298">
        <f t="shared" si="11"/>
        <v>100800</v>
      </c>
      <c r="I48" s="298">
        <f t="shared" si="11"/>
        <v>50400</v>
      </c>
      <c r="J48" s="298">
        <f t="shared" si="11"/>
        <v>100800</v>
      </c>
      <c r="K48" s="298">
        <f t="shared" si="11"/>
        <v>0</v>
      </c>
      <c r="L48" s="298">
        <f t="shared" si="11"/>
        <v>0</v>
      </c>
      <c r="M48" s="298">
        <f t="shared" si="11"/>
        <v>25200</v>
      </c>
      <c r="N48" s="299">
        <f t="shared" si="11"/>
        <v>25200</v>
      </c>
    </row>
    <row r="49" spans="1:14" ht="16.5" thickBot="1">
      <c r="A49" s="306" t="s">
        <v>259</v>
      </c>
      <c r="B49" s="303"/>
      <c r="C49" s="304">
        <f>SUM(C37:C48)</f>
        <v>0</v>
      </c>
      <c r="D49" s="304">
        <f t="shared" ref="D49:N49" si="12">SUM(D37:D48)</f>
        <v>325200</v>
      </c>
      <c r="E49" s="304">
        <f t="shared" si="12"/>
        <v>650400</v>
      </c>
      <c r="F49" s="304">
        <f t="shared" si="12"/>
        <v>0</v>
      </c>
      <c r="G49" s="304">
        <f t="shared" si="12"/>
        <v>325200</v>
      </c>
      <c r="H49" s="304">
        <f t="shared" si="12"/>
        <v>650400</v>
      </c>
      <c r="I49" s="304">
        <f t="shared" si="12"/>
        <v>325200</v>
      </c>
      <c r="J49" s="304">
        <f t="shared" si="12"/>
        <v>650400</v>
      </c>
      <c r="K49" s="304">
        <f t="shared" si="12"/>
        <v>0</v>
      </c>
      <c r="L49" s="304">
        <f t="shared" si="12"/>
        <v>0</v>
      </c>
      <c r="M49" s="304">
        <f t="shared" si="12"/>
        <v>162600</v>
      </c>
      <c r="N49" s="305">
        <f t="shared" si="12"/>
        <v>162600</v>
      </c>
    </row>
  </sheetData>
  <sheetProtection algorithmName="SHA-512" hashValue="y2MzIUPFLV9DH/9VsMbGU+2+a36Kv37DPBE+4Z8IDWw0qj47f1GCb4OiIZbWYPRYrc4UFaqnMw7o3JSfFi6E7Q==" saltValue="BAm8kYoJxSKtkavncxlB9Q==" spinCount="100000" sheet="1" objects="1" scenarios="1"/>
  <mergeCells count="15">
    <mergeCell ref="A3:A4"/>
    <mergeCell ref="B3:B4"/>
    <mergeCell ref="C3:N3"/>
    <mergeCell ref="A37:A40"/>
    <mergeCell ref="A41:A44"/>
    <mergeCell ref="B35:B36"/>
    <mergeCell ref="C35:N35"/>
    <mergeCell ref="A19:A20"/>
    <mergeCell ref="B19:B20"/>
    <mergeCell ref="C19:N19"/>
    <mergeCell ref="A5:A8"/>
    <mergeCell ref="A9:A12"/>
    <mergeCell ref="A21:A24"/>
    <mergeCell ref="A25:A28"/>
    <mergeCell ref="A35:A3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9A3AD-A23F-4034-8AA3-84D21D435408}">
  <dimension ref="A2:W136"/>
  <sheetViews>
    <sheetView topLeftCell="A118" workbookViewId="0">
      <selection activeCell="F131" sqref="F131"/>
    </sheetView>
  </sheetViews>
  <sheetFormatPr defaultRowHeight="12.75"/>
  <cols>
    <col min="1" max="1" width="19.28515625" customWidth="1"/>
    <col min="2" max="2" width="21.85546875" customWidth="1"/>
    <col min="3" max="3" width="14.85546875" bestFit="1" customWidth="1"/>
    <col min="4" max="4" width="11.5703125" bestFit="1" customWidth="1"/>
    <col min="5" max="5" width="20.42578125" customWidth="1"/>
    <col min="6" max="6" width="10.5703125" bestFit="1" customWidth="1"/>
    <col min="7" max="7" width="9.28515625" bestFit="1" customWidth="1"/>
    <col min="8" max="8" width="9.5703125" bestFit="1" customWidth="1"/>
    <col min="12" max="12" width="11.5703125" bestFit="1" customWidth="1"/>
    <col min="15" max="15" width="11.5703125" bestFit="1" customWidth="1"/>
  </cols>
  <sheetData>
    <row r="2" spans="1:8" ht="13.5" thickBot="1"/>
    <row r="3" spans="1:8" ht="16.5" thickBot="1">
      <c r="A3" s="1040" t="s">
        <v>175</v>
      </c>
      <c r="B3" s="1038" t="s">
        <v>176</v>
      </c>
      <c r="C3" s="1036" t="s">
        <v>177</v>
      </c>
      <c r="D3" s="1034" t="s">
        <v>178</v>
      </c>
      <c r="E3" s="1021" t="s">
        <v>354</v>
      </c>
      <c r="F3" s="1022"/>
      <c r="G3" s="1022"/>
      <c r="H3" s="1023"/>
    </row>
    <row r="4" spans="1:8" ht="16.5" thickBot="1">
      <c r="A4" s="1041"/>
      <c r="B4" s="1039"/>
      <c r="C4" s="1037"/>
      <c r="D4" s="1035"/>
      <c r="E4" s="501" t="str">
        <f>'Processing Assumptions'!E4</f>
        <v>Millets A</v>
      </c>
      <c r="F4" s="501" t="str">
        <f>'Processing Assumptions'!F4</f>
        <v>Millets B</v>
      </c>
      <c r="G4" s="501" t="str">
        <f>'Processing Assumptions'!G4</f>
        <v>Millets C</v>
      </c>
      <c r="H4" s="500" t="str">
        <f>'Processing Assumptions'!H4</f>
        <v>Millets D</v>
      </c>
    </row>
    <row r="5" spans="1:8" ht="15.75">
      <c r="A5" s="457">
        <v>1</v>
      </c>
      <c r="B5" s="313" t="str">
        <f>'Processing Assumptions'!B5</f>
        <v xml:space="preserve">Basaniya </v>
      </c>
      <c r="C5" s="313">
        <f>'Processing Assumptions'!C5</f>
        <v>50</v>
      </c>
      <c r="D5" s="434">
        <f>E5+F5+G5+H5</f>
        <v>60</v>
      </c>
      <c r="E5" s="314">
        <f>'Processing Assumptions'!E5</f>
        <v>20</v>
      </c>
      <c r="F5" s="314">
        <f>'Processing Assumptions'!F5</f>
        <v>20</v>
      </c>
      <c r="G5" s="314">
        <f>'Processing Assumptions'!G5</f>
        <v>0</v>
      </c>
      <c r="H5" s="314">
        <f>'Processing Assumptions'!H5</f>
        <v>20</v>
      </c>
    </row>
    <row r="6" spans="1:8" ht="15.75">
      <c r="A6" s="458">
        <v>2</v>
      </c>
      <c r="B6" s="321" t="str">
        <f>'Processing Assumptions'!B6</f>
        <v>Nidhani</v>
      </c>
      <c r="C6" s="313">
        <f>'Processing Assumptions'!C6</f>
        <v>30</v>
      </c>
      <c r="D6" s="435">
        <f>E6+F6+G6+H6</f>
        <v>40</v>
      </c>
      <c r="E6" s="314">
        <f>'Processing Assumptions'!E6</f>
        <v>10</v>
      </c>
      <c r="F6" s="314">
        <f>'Processing Assumptions'!F6</f>
        <v>10</v>
      </c>
      <c r="G6" s="314">
        <f>'Processing Assumptions'!G6</f>
        <v>10</v>
      </c>
      <c r="H6" s="314">
        <f>'Processing Assumptions'!H6</f>
        <v>10</v>
      </c>
    </row>
    <row r="7" spans="1:8" ht="15.75">
      <c r="A7" s="458">
        <v>3</v>
      </c>
      <c r="B7" s="313" t="str">
        <f>'Processing Assumptions'!B7</f>
        <v>Kudopani</v>
      </c>
      <c r="C7" s="313">
        <f>'Processing Assumptions'!C7</f>
        <v>40</v>
      </c>
      <c r="D7" s="435">
        <f t="shared" ref="D7:D39" si="0">E7+F7+G7+H7</f>
        <v>60</v>
      </c>
      <c r="E7" s="314">
        <f>'Processing Assumptions'!E7</f>
        <v>20</v>
      </c>
      <c r="F7" s="314">
        <f>'Processing Assumptions'!F7</f>
        <v>20</v>
      </c>
      <c r="G7" s="314">
        <f>'Processing Assumptions'!G7</f>
        <v>10</v>
      </c>
      <c r="H7" s="314">
        <f>'Processing Assumptions'!H7</f>
        <v>10</v>
      </c>
    </row>
    <row r="8" spans="1:8" ht="15.75">
      <c r="A8" s="458">
        <v>4</v>
      </c>
      <c r="B8" s="313" t="str">
        <f>'Processing Assumptions'!B8</f>
        <v>Munu</v>
      </c>
      <c r="C8" s="313">
        <f>'Processing Assumptions'!C8</f>
        <v>20</v>
      </c>
      <c r="D8" s="435">
        <f t="shared" si="0"/>
        <v>20</v>
      </c>
      <c r="E8" s="314">
        <f>'Processing Assumptions'!E8</f>
        <v>10</v>
      </c>
      <c r="F8" s="314">
        <f>'Processing Assumptions'!F8</f>
        <v>10</v>
      </c>
      <c r="G8" s="314">
        <f>'Processing Assumptions'!G8</f>
        <v>0</v>
      </c>
      <c r="H8" s="314">
        <f>'Processing Assumptions'!H8</f>
        <v>0</v>
      </c>
    </row>
    <row r="9" spans="1:8" ht="15.75">
      <c r="A9" s="458">
        <v>5</v>
      </c>
      <c r="B9" s="313" t="str">
        <f>'Processing Assumptions'!B9</f>
        <v>Harra tikur</v>
      </c>
      <c r="C9" s="313">
        <f>'Processing Assumptions'!C9</f>
        <v>40</v>
      </c>
      <c r="D9" s="435">
        <f t="shared" si="0"/>
        <v>50</v>
      </c>
      <c r="E9" s="314">
        <f>'Processing Assumptions'!E9</f>
        <v>10</v>
      </c>
      <c r="F9" s="314">
        <f>'Processing Assumptions'!F9</f>
        <v>10</v>
      </c>
      <c r="G9" s="314">
        <f>'Processing Assumptions'!G9</f>
        <v>20</v>
      </c>
      <c r="H9" s="314">
        <f>'Processing Assumptions'!H9</f>
        <v>10</v>
      </c>
    </row>
    <row r="10" spans="1:8" ht="15.75">
      <c r="A10" s="458">
        <v>6</v>
      </c>
      <c r="B10" s="313" t="str">
        <f>'Processing Assumptions'!B10</f>
        <v>Kasota</v>
      </c>
      <c r="C10" s="313">
        <f>'Processing Assumptions'!C10</f>
        <v>25</v>
      </c>
      <c r="D10" s="435">
        <f t="shared" si="0"/>
        <v>25</v>
      </c>
      <c r="E10" s="314">
        <f>'Processing Assumptions'!E10</f>
        <v>10</v>
      </c>
      <c r="F10" s="314">
        <f>'Processing Assumptions'!F10</f>
        <v>5</v>
      </c>
      <c r="G10" s="314">
        <f>'Processing Assumptions'!G10</f>
        <v>5</v>
      </c>
      <c r="H10" s="314">
        <f>'Processing Assumptions'!H10</f>
        <v>5</v>
      </c>
    </row>
    <row r="11" spans="1:8" ht="15.75">
      <c r="A11" s="458">
        <v>7</v>
      </c>
      <c r="B11" s="313" t="str">
        <f>'Processing Assumptions'!B11</f>
        <v>Sontkiri</v>
      </c>
      <c r="C11" s="313">
        <f>'Processing Assumptions'!C11</f>
        <v>30</v>
      </c>
      <c r="D11" s="435">
        <f t="shared" si="0"/>
        <v>30</v>
      </c>
      <c r="E11" s="314">
        <f>'Processing Assumptions'!E11</f>
        <v>5</v>
      </c>
      <c r="F11" s="314">
        <f>'Processing Assumptions'!F11</f>
        <v>5</v>
      </c>
      <c r="G11" s="314">
        <f>'Processing Assumptions'!G11</f>
        <v>10</v>
      </c>
      <c r="H11" s="314">
        <f>'Processing Assumptions'!H11</f>
        <v>10</v>
      </c>
    </row>
    <row r="12" spans="1:8" ht="15.75">
      <c r="A12" s="458">
        <v>8</v>
      </c>
      <c r="B12" s="313" t="str">
        <f>'Processing Assumptions'!B12</f>
        <v>Palehra</v>
      </c>
      <c r="C12" s="313">
        <f>'Processing Assumptions'!C12</f>
        <v>40</v>
      </c>
      <c r="D12" s="435">
        <f t="shared" si="0"/>
        <v>40</v>
      </c>
      <c r="E12" s="314">
        <f>'Processing Assumptions'!E12</f>
        <v>10</v>
      </c>
      <c r="F12" s="314">
        <f>'Processing Assumptions'!F12</f>
        <v>10</v>
      </c>
      <c r="G12" s="314">
        <f>'Processing Assumptions'!G12</f>
        <v>10</v>
      </c>
      <c r="H12" s="314">
        <f>'Processing Assumptions'!H12</f>
        <v>10</v>
      </c>
    </row>
    <row r="13" spans="1:8" ht="15.75">
      <c r="A13" s="458">
        <v>9</v>
      </c>
      <c r="B13" s="313" t="str">
        <f>'Processing Assumptions'!B13</f>
        <v>Bilgaon</v>
      </c>
      <c r="C13" s="313">
        <f>'Processing Assumptions'!C13</f>
        <v>30</v>
      </c>
      <c r="D13" s="435">
        <f t="shared" si="0"/>
        <v>30</v>
      </c>
      <c r="E13" s="314">
        <f>'Processing Assumptions'!E13</f>
        <v>10</v>
      </c>
      <c r="F13" s="314">
        <f>'Processing Assumptions'!F13</f>
        <v>10</v>
      </c>
      <c r="G13" s="314">
        <f>'Processing Assumptions'!G13</f>
        <v>0</v>
      </c>
      <c r="H13" s="314">
        <f>'Processing Assumptions'!H13</f>
        <v>10</v>
      </c>
    </row>
    <row r="14" spans="1:8" ht="15.75">
      <c r="A14" s="458">
        <v>17</v>
      </c>
      <c r="B14" s="313" t="str">
        <f>'Processing Assumptions'!B14</f>
        <v>Malwather</v>
      </c>
      <c r="C14" s="313">
        <f>'Processing Assumptions'!C14</f>
        <v>30</v>
      </c>
      <c r="D14" s="435">
        <f t="shared" si="0"/>
        <v>35</v>
      </c>
      <c r="E14" s="314">
        <f>'Processing Assumptions'!E14</f>
        <v>5</v>
      </c>
      <c r="F14" s="314">
        <f>'Processing Assumptions'!F14</f>
        <v>0</v>
      </c>
      <c r="G14" s="314">
        <f>'Processing Assumptions'!G14</f>
        <v>15</v>
      </c>
      <c r="H14" s="314">
        <f>'Processing Assumptions'!H14</f>
        <v>15</v>
      </c>
    </row>
    <row r="15" spans="1:8" ht="15.75">
      <c r="A15" s="458">
        <v>18</v>
      </c>
      <c r="B15" s="313" t="str">
        <f>'Processing Assumptions'!B15</f>
        <v>Silighiti</v>
      </c>
      <c r="C15" s="313">
        <f>'Processing Assumptions'!C15</f>
        <v>30</v>
      </c>
      <c r="D15" s="435">
        <f t="shared" si="0"/>
        <v>40</v>
      </c>
      <c r="E15" s="314">
        <f>'Processing Assumptions'!E15</f>
        <v>0</v>
      </c>
      <c r="F15" s="314">
        <f>'Processing Assumptions'!F15</f>
        <v>0</v>
      </c>
      <c r="G15" s="314">
        <f>'Processing Assumptions'!G15</f>
        <v>20</v>
      </c>
      <c r="H15" s="314">
        <f>'Processing Assumptions'!H15</f>
        <v>20</v>
      </c>
    </row>
    <row r="16" spans="1:8" ht="15.75">
      <c r="A16" s="458">
        <v>19</v>
      </c>
      <c r="B16" s="313" t="str">
        <f>'Processing Assumptions'!B16</f>
        <v>kumharra</v>
      </c>
      <c r="C16" s="313">
        <f>'Processing Assumptions'!C16</f>
        <v>30</v>
      </c>
      <c r="D16" s="435">
        <f t="shared" si="0"/>
        <v>40</v>
      </c>
      <c r="E16" s="314">
        <f>'Processing Assumptions'!E16</f>
        <v>0</v>
      </c>
      <c r="F16" s="314">
        <f>'Processing Assumptions'!F16</f>
        <v>0</v>
      </c>
      <c r="G16" s="314">
        <f>'Processing Assumptions'!G16</f>
        <v>20</v>
      </c>
      <c r="H16" s="314">
        <f>'Processing Assumptions'!H16</f>
        <v>20</v>
      </c>
    </row>
    <row r="17" spans="1:8" ht="15.75">
      <c r="A17" s="458">
        <v>20</v>
      </c>
      <c r="B17" s="313" t="str">
        <f>'Processing Assumptions'!B17</f>
        <v>Amjhar</v>
      </c>
      <c r="C17" s="313">
        <f>'Processing Assumptions'!C17</f>
        <v>30</v>
      </c>
      <c r="D17" s="435">
        <f t="shared" si="0"/>
        <v>40</v>
      </c>
      <c r="E17" s="314">
        <f>'Processing Assumptions'!E17</f>
        <v>0</v>
      </c>
      <c r="F17" s="314">
        <f>'Processing Assumptions'!F17</f>
        <v>0</v>
      </c>
      <c r="G17" s="314">
        <f>'Processing Assumptions'!G17</f>
        <v>20</v>
      </c>
      <c r="H17" s="314">
        <f>'Processing Assumptions'!H17</f>
        <v>20</v>
      </c>
    </row>
    <row r="18" spans="1:8" ht="15.75">
      <c r="A18" s="458">
        <v>21</v>
      </c>
      <c r="B18" s="313" t="str">
        <f>'Processing Assumptions'!B18</f>
        <v>Mungwani</v>
      </c>
      <c r="C18" s="313">
        <f>'Processing Assumptions'!C18</f>
        <v>30</v>
      </c>
      <c r="D18" s="435">
        <f t="shared" si="0"/>
        <v>40</v>
      </c>
      <c r="E18" s="314">
        <f>'Processing Assumptions'!E18</f>
        <v>0</v>
      </c>
      <c r="F18" s="314">
        <f>'Processing Assumptions'!F18</f>
        <v>0</v>
      </c>
      <c r="G18" s="314">
        <f>'Processing Assumptions'!G18</f>
        <v>20</v>
      </c>
      <c r="H18" s="314">
        <f>'Processing Assumptions'!H18</f>
        <v>20</v>
      </c>
    </row>
    <row r="19" spans="1:8" ht="15.75">
      <c r="A19" s="458">
        <v>22</v>
      </c>
      <c r="B19" s="313" t="str">
        <f>'Processing Assumptions'!B19</f>
        <v>Panchipani</v>
      </c>
      <c r="C19" s="313">
        <f>'Processing Assumptions'!C19</f>
        <v>25</v>
      </c>
      <c r="D19" s="435">
        <f t="shared" si="0"/>
        <v>40</v>
      </c>
      <c r="E19" s="314">
        <f>'Processing Assumptions'!E19</f>
        <v>0</v>
      </c>
      <c r="F19" s="314">
        <f>'Processing Assumptions'!F19</f>
        <v>0</v>
      </c>
      <c r="G19" s="314">
        <f>'Processing Assumptions'!G19</f>
        <v>20</v>
      </c>
      <c r="H19" s="314">
        <f>'Processing Assumptions'!H19</f>
        <v>20</v>
      </c>
    </row>
    <row r="20" spans="1:8" ht="15.75">
      <c r="A20" s="458">
        <v>23</v>
      </c>
      <c r="B20" s="313" t="str">
        <f>'Processing Assumptions'!B20</f>
        <v>Bhanpur</v>
      </c>
      <c r="C20" s="313">
        <f>'Processing Assumptions'!C20</f>
        <v>20</v>
      </c>
      <c r="D20" s="435">
        <f t="shared" si="0"/>
        <v>20</v>
      </c>
      <c r="E20" s="314">
        <f>'Processing Assumptions'!E20</f>
        <v>0</v>
      </c>
      <c r="F20" s="314">
        <f>'Processing Assumptions'!F20</f>
        <v>0</v>
      </c>
      <c r="G20" s="314">
        <f>'Processing Assumptions'!G20</f>
        <v>10</v>
      </c>
      <c r="H20" s="314">
        <f>'Processing Assumptions'!H20</f>
        <v>10</v>
      </c>
    </row>
    <row r="21" spans="1:8" ht="15.75">
      <c r="A21" s="458">
        <v>24</v>
      </c>
      <c r="B21" s="313" t="str">
        <f>'Processing Assumptions'!B21</f>
        <v>Jhurgi</v>
      </c>
      <c r="C21" s="313">
        <f>'Processing Assumptions'!C21</f>
        <v>20</v>
      </c>
      <c r="D21" s="435">
        <f t="shared" si="0"/>
        <v>25</v>
      </c>
      <c r="E21" s="314">
        <f>'Processing Assumptions'!E21</f>
        <v>5</v>
      </c>
      <c r="F21" s="314">
        <f>'Processing Assumptions'!F21</f>
        <v>0</v>
      </c>
      <c r="G21" s="314">
        <f>'Processing Assumptions'!G21</f>
        <v>10</v>
      </c>
      <c r="H21" s="314">
        <f>'Processing Assumptions'!H21</f>
        <v>10</v>
      </c>
    </row>
    <row r="22" spans="1:8" ht="15.75">
      <c r="A22" s="458">
        <v>25</v>
      </c>
      <c r="B22" s="313" t="str">
        <f>'Processing Assumptions'!B22</f>
        <v>paudi</v>
      </c>
      <c r="C22" s="313">
        <f>'Processing Assumptions'!C22</f>
        <v>20</v>
      </c>
      <c r="D22" s="435">
        <f t="shared" si="0"/>
        <v>25</v>
      </c>
      <c r="E22" s="314">
        <f>'Processing Assumptions'!E22</f>
        <v>5</v>
      </c>
      <c r="F22" s="314">
        <f>'Processing Assumptions'!F22</f>
        <v>0</v>
      </c>
      <c r="G22" s="314">
        <f>'Processing Assumptions'!G22</f>
        <v>10</v>
      </c>
      <c r="H22" s="314">
        <f>'Processing Assumptions'!H22</f>
        <v>10</v>
      </c>
    </row>
    <row r="23" spans="1:8" ht="15.75">
      <c r="A23" s="458">
        <v>26</v>
      </c>
      <c r="B23" s="313" t="str">
        <f>'Processing Assumptions'!B23</f>
        <v>malpehri</v>
      </c>
      <c r="C23" s="313">
        <f>'Processing Assumptions'!C23</f>
        <v>20</v>
      </c>
      <c r="D23" s="435">
        <f t="shared" si="0"/>
        <v>25</v>
      </c>
      <c r="E23" s="314">
        <f>'Processing Assumptions'!E23</f>
        <v>0</v>
      </c>
      <c r="F23" s="314">
        <f>'Processing Assumptions'!F23</f>
        <v>0</v>
      </c>
      <c r="G23" s="314">
        <f>'Processing Assumptions'!G23</f>
        <v>10</v>
      </c>
      <c r="H23" s="314">
        <f>'Processing Assumptions'!H23</f>
        <v>15</v>
      </c>
    </row>
    <row r="24" spans="1:8" ht="15.75">
      <c r="A24" s="458">
        <v>27</v>
      </c>
      <c r="B24" s="313" t="str">
        <f>'Processing Assumptions'!B24</f>
        <v>Thebha</v>
      </c>
      <c r="C24" s="313">
        <f>'Processing Assumptions'!C24</f>
        <v>40</v>
      </c>
      <c r="D24" s="435">
        <f t="shared" si="0"/>
        <v>60</v>
      </c>
      <c r="E24" s="314">
        <f>'Processing Assumptions'!E24</f>
        <v>10</v>
      </c>
      <c r="F24" s="314">
        <f>'Processing Assumptions'!F24</f>
        <v>10</v>
      </c>
      <c r="G24" s="314">
        <f>'Processing Assumptions'!G24</f>
        <v>20</v>
      </c>
      <c r="H24" s="314">
        <f>'Processing Assumptions'!H24</f>
        <v>20</v>
      </c>
    </row>
    <row r="25" spans="1:8" ht="15.75">
      <c r="A25" s="458">
        <v>28</v>
      </c>
      <c r="B25" s="313" t="str">
        <f>'Processing Assumptions'!B25</f>
        <v>Karegaon</v>
      </c>
      <c r="C25" s="313">
        <f>'Processing Assumptions'!C25</f>
        <v>40</v>
      </c>
      <c r="D25" s="435">
        <f t="shared" si="0"/>
        <v>60</v>
      </c>
      <c r="E25" s="314">
        <f>'Processing Assumptions'!E25</f>
        <v>10</v>
      </c>
      <c r="F25" s="314">
        <f>'Processing Assumptions'!F25</f>
        <v>10</v>
      </c>
      <c r="G25" s="314">
        <f>'Processing Assumptions'!G25</f>
        <v>20</v>
      </c>
      <c r="H25" s="314">
        <f>'Processing Assumptions'!H25</f>
        <v>20</v>
      </c>
    </row>
    <row r="26" spans="1:8" ht="15.75">
      <c r="A26" s="458">
        <v>29</v>
      </c>
      <c r="B26" s="313" t="str">
        <f>'Processing Assumptions'!B26</f>
        <v>Jhanda tola</v>
      </c>
      <c r="C26" s="313">
        <f>'Processing Assumptions'!C26</f>
        <v>20</v>
      </c>
      <c r="D26" s="435">
        <f t="shared" si="0"/>
        <v>20</v>
      </c>
      <c r="E26" s="314">
        <f>'Processing Assumptions'!E26</f>
        <v>5</v>
      </c>
      <c r="F26" s="314">
        <f>'Processing Assumptions'!F26</f>
        <v>5</v>
      </c>
      <c r="G26" s="314">
        <f>'Processing Assumptions'!G26</f>
        <v>5</v>
      </c>
      <c r="H26" s="314">
        <f>'Processing Assumptions'!H26</f>
        <v>5</v>
      </c>
    </row>
    <row r="27" spans="1:8" ht="15.75">
      <c r="A27" s="458">
        <v>30</v>
      </c>
      <c r="B27" s="313" t="str">
        <f>'Processing Assumptions'!B27</f>
        <v>Khairi mal</v>
      </c>
      <c r="C27" s="313">
        <f>'Processing Assumptions'!C27</f>
        <v>20</v>
      </c>
      <c r="D27" s="435">
        <f t="shared" si="0"/>
        <v>20</v>
      </c>
      <c r="E27" s="314">
        <f>'Processing Assumptions'!E27</f>
        <v>5</v>
      </c>
      <c r="F27" s="314">
        <f>'Processing Assumptions'!F27</f>
        <v>5</v>
      </c>
      <c r="G27" s="314">
        <f>'Processing Assumptions'!G27</f>
        <v>5</v>
      </c>
      <c r="H27" s="314">
        <f>'Processing Assumptions'!H27</f>
        <v>5</v>
      </c>
    </row>
    <row r="28" spans="1:8" ht="15.75">
      <c r="A28" s="458">
        <v>31</v>
      </c>
      <c r="B28" s="313" t="str">
        <f>'Processing Assumptions'!B28</f>
        <v>khalhe guithori</v>
      </c>
      <c r="C28" s="313">
        <f>'Processing Assumptions'!C28</f>
        <v>30</v>
      </c>
      <c r="D28" s="435">
        <f t="shared" si="0"/>
        <v>30</v>
      </c>
      <c r="E28" s="314">
        <f>'Processing Assumptions'!E28</f>
        <v>5</v>
      </c>
      <c r="F28" s="314">
        <f>'Processing Assumptions'!F28</f>
        <v>5</v>
      </c>
      <c r="G28" s="314">
        <f>'Processing Assumptions'!G28</f>
        <v>10</v>
      </c>
      <c r="H28" s="314">
        <f>'Processing Assumptions'!H28</f>
        <v>10</v>
      </c>
    </row>
    <row r="29" spans="1:8" ht="15.75">
      <c r="A29" s="458">
        <v>32</v>
      </c>
      <c r="B29" s="313" t="str">
        <f>'Processing Assumptions'!B29</f>
        <v>Tikra guithori</v>
      </c>
      <c r="C29" s="313">
        <f>'Processing Assumptions'!C29</f>
        <v>20</v>
      </c>
      <c r="D29" s="435">
        <f t="shared" si="0"/>
        <v>20</v>
      </c>
      <c r="E29" s="314">
        <f>'Processing Assumptions'!E29</f>
        <v>0</v>
      </c>
      <c r="F29" s="314">
        <f>'Processing Assumptions'!F29</f>
        <v>0</v>
      </c>
      <c r="G29" s="314">
        <f>'Processing Assumptions'!G29</f>
        <v>10</v>
      </c>
      <c r="H29" s="314">
        <f>'Processing Assumptions'!H29</f>
        <v>10</v>
      </c>
    </row>
    <row r="30" spans="1:8" ht="15.75">
      <c r="A30" s="458">
        <v>33</v>
      </c>
      <c r="B30" s="313" t="str">
        <f>'Processing Assumptions'!B30</f>
        <v>Andiyadar</v>
      </c>
      <c r="C30" s="313">
        <f>'Processing Assumptions'!C30</f>
        <v>20</v>
      </c>
      <c r="D30" s="435">
        <f t="shared" si="0"/>
        <v>20</v>
      </c>
      <c r="E30" s="314">
        <f>'Processing Assumptions'!E30</f>
        <v>5</v>
      </c>
      <c r="F30" s="314">
        <f>'Processing Assumptions'!F30</f>
        <v>5</v>
      </c>
      <c r="G30" s="314">
        <f>'Processing Assumptions'!G30</f>
        <v>0</v>
      </c>
      <c r="H30" s="314">
        <f>'Processing Assumptions'!H30</f>
        <v>10</v>
      </c>
    </row>
    <row r="31" spans="1:8" ht="15.75">
      <c r="A31" s="458">
        <v>34</v>
      </c>
      <c r="B31" s="313" t="str">
        <f>'Processing Assumptions'!B31</f>
        <v>Umardeeh</v>
      </c>
      <c r="C31" s="313">
        <f>'Processing Assumptions'!C31</f>
        <v>20</v>
      </c>
      <c r="D31" s="435">
        <f t="shared" si="0"/>
        <v>20</v>
      </c>
      <c r="E31" s="314">
        <f>'Processing Assumptions'!E31</f>
        <v>0</v>
      </c>
      <c r="F31" s="314">
        <f>'Processing Assumptions'!F31</f>
        <v>0</v>
      </c>
      <c r="G31" s="314">
        <f>'Processing Assumptions'!G31</f>
        <v>10</v>
      </c>
      <c r="H31" s="314">
        <f>'Processing Assumptions'!H31</f>
        <v>10</v>
      </c>
    </row>
    <row r="32" spans="1:8" ht="15.75">
      <c r="A32" s="458">
        <v>35</v>
      </c>
      <c r="B32" s="313" t="str">
        <f>'Processing Assumptions'!B32</f>
        <v>Dhamanpani</v>
      </c>
      <c r="C32" s="313">
        <f>'Processing Assumptions'!C32</f>
        <v>30</v>
      </c>
      <c r="D32" s="435">
        <f t="shared" si="0"/>
        <v>40</v>
      </c>
      <c r="E32" s="314">
        <f>'Processing Assumptions'!E32</f>
        <v>10</v>
      </c>
      <c r="F32" s="314">
        <f>'Processing Assumptions'!F32</f>
        <v>0</v>
      </c>
      <c r="G32" s="314">
        <f>'Processing Assumptions'!G32</f>
        <v>20</v>
      </c>
      <c r="H32" s="314">
        <f>'Processing Assumptions'!H32</f>
        <v>10</v>
      </c>
    </row>
    <row r="33" spans="1:9" ht="15.75">
      <c r="A33" s="458">
        <v>36</v>
      </c>
      <c r="B33" s="313" t="str">
        <f>'Processing Assumptions'!B33</f>
        <v>Chubhawal</v>
      </c>
      <c r="C33" s="313">
        <f>'Processing Assumptions'!C33</f>
        <v>20</v>
      </c>
      <c r="D33" s="435">
        <f t="shared" si="0"/>
        <v>35</v>
      </c>
      <c r="E33" s="314">
        <f>'Processing Assumptions'!E33</f>
        <v>10</v>
      </c>
      <c r="F33" s="314">
        <f>'Processing Assumptions'!F33</f>
        <v>0</v>
      </c>
      <c r="G33" s="314">
        <f>'Processing Assumptions'!G33</f>
        <v>20</v>
      </c>
      <c r="H33" s="314">
        <f>'Processing Assumptions'!H33</f>
        <v>5</v>
      </c>
    </row>
    <row r="34" spans="1:9" ht="15.75">
      <c r="A34" s="458">
        <v>37</v>
      </c>
      <c r="B34" s="313" t="str">
        <f>'Processing Assumptions'!B34</f>
        <v>khinsi</v>
      </c>
      <c r="C34" s="313">
        <f>'Processing Assumptions'!C34</f>
        <v>30</v>
      </c>
      <c r="D34" s="435">
        <f t="shared" si="0"/>
        <v>35</v>
      </c>
      <c r="E34" s="314">
        <f>'Processing Assumptions'!E34</f>
        <v>5</v>
      </c>
      <c r="F34" s="314">
        <f>'Processing Assumptions'!F34</f>
        <v>0</v>
      </c>
      <c r="G34" s="314">
        <f>'Processing Assumptions'!G34</f>
        <v>20</v>
      </c>
      <c r="H34" s="314">
        <f>'Processing Assumptions'!H34</f>
        <v>10</v>
      </c>
    </row>
    <row r="35" spans="1:9" ht="15.75">
      <c r="A35" s="458">
        <v>38</v>
      </c>
      <c r="B35" s="313" t="str">
        <f>'Processing Assumptions'!B35</f>
        <v>padadar</v>
      </c>
      <c r="C35" s="313">
        <f>'Processing Assumptions'!C35</f>
        <v>20</v>
      </c>
      <c r="D35" s="435">
        <f t="shared" si="0"/>
        <v>25</v>
      </c>
      <c r="E35" s="314">
        <f>'Processing Assumptions'!E35</f>
        <v>5</v>
      </c>
      <c r="F35" s="314">
        <f>'Processing Assumptions'!F35</f>
        <v>0</v>
      </c>
      <c r="G35" s="314">
        <f>'Processing Assumptions'!G35</f>
        <v>15</v>
      </c>
      <c r="H35" s="314">
        <f>'Processing Assumptions'!H35</f>
        <v>5</v>
      </c>
    </row>
    <row r="36" spans="1:9" ht="15.75">
      <c r="A36" s="458">
        <v>39</v>
      </c>
      <c r="B36" s="313" t="str">
        <f>'Processing Assumptions'!B36</f>
        <v>daldala</v>
      </c>
      <c r="C36" s="313">
        <f>'Processing Assumptions'!C36</f>
        <v>20</v>
      </c>
      <c r="D36" s="435">
        <f t="shared" si="0"/>
        <v>35</v>
      </c>
      <c r="E36" s="314">
        <f>'Processing Assumptions'!E36</f>
        <v>10</v>
      </c>
      <c r="F36" s="314">
        <f>'Processing Assumptions'!F36</f>
        <v>0</v>
      </c>
      <c r="G36" s="314">
        <f>'Processing Assumptions'!G36</f>
        <v>15</v>
      </c>
      <c r="H36" s="314">
        <f>'Processing Assumptions'!H36</f>
        <v>10</v>
      </c>
    </row>
    <row r="37" spans="1:9" ht="15.75">
      <c r="A37" s="458">
        <v>40</v>
      </c>
      <c r="B37" s="313" t="str">
        <f>'Processing Assumptions'!B37</f>
        <v>mohgaon ryt.</v>
      </c>
      <c r="C37" s="313">
        <f>'Processing Assumptions'!C37</f>
        <v>25</v>
      </c>
      <c r="D37" s="435">
        <f t="shared" si="0"/>
        <v>45</v>
      </c>
      <c r="E37" s="314">
        <f>'Processing Assumptions'!E37</f>
        <v>10</v>
      </c>
      <c r="F37" s="314">
        <f>'Processing Assumptions'!F37</f>
        <v>5</v>
      </c>
      <c r="G37" s="314">
        <f>'Processing Assumptions'!G37</f>
        <v>10</v>
      </c>
      <c r="H37" s="314">
        <f>'Processing Assumptions'!H37</f>
        <v>20</v>
      </c>
    </row>
    <row r="38" spans="1:9" ht="15.75">
      <c r="A38" s="458">
        <v>41</v>
      </c>
      <c r="B38" s="313" t="str">
        <f>'Processing Assumptions'!B38</f>
        <v>beenjhi</v>
      </c>
      <c r="C38" s="313">
        <f>'Processing Assumptions'!C38</f>
        <v>30</v>
      </c>
      <c r="D38" s="435">
        <f t="shared" si="0"/>
        <v>50</v>
      </c>
      <c r="E38" s="314">
        <f>'Processing Assumptions'!E38</f>
        <v>5</v>
      </c>
      <c r="F38" s="314">
        <f>'Processing Assumptions'!F38</f>
        <v>5</v>
      </c>
      <c r="G38" s="314">
        <f>'Processing Assumptions'!G38</f>
        <v>20</v>
      </c>
      <c r="H38" s="314">
        <f>'Processing Assumptions'!H38</f>
        <v>20</v>
      </c>
    </row>
    <row r="39" spans="1:9" ht="16.5" thickBot="1">
      <c r="A39" s="459">
        <v>60</v>
      </c>
      <c r="B39" s="639" t="str">
        <f>'Processing Assumptions'!B39</f>
        <v xml:space="preserve">Bilgada </v>
      </c>
      <c r="C39" s="313">
        <f>'Processing Assumptions'!C39</f>
        <v>25</v>
      </c>
      <c r="D39" s="436">
        <f t="shared" si="0"/>
        <v>25</v>
      </c>
      <c r="E39" s="314">
        <f>'Processing Assumptions'!E39</f>
        <v>3</v>
      </c>
      <c r="F39" s="314">
        <f>'Processing Assumptions'!F39</f>
        <v>3</v>
      </c>
      <c r="G39" s="314">
        <f>'Processing Assumptions'!G39</f>
        <v>9</v>
      </c>
      <c r="H39" s="314">
        <f>'Processing Assumptions'!H39</f>
        <v>10</v>
      </c>
    </row>
    <row r="40" spans="1:9" ht="16.5" thickBot="1">
      <c r="A40" s="1081" t="s">
        <v>259</v>
      </c>
      <c r="B40" s="1082"/>
      <c r="C40" s="526">
        <f>SUM(C5:C39)</f>
        <v>970</v>
      </c>
      <c r="D40" s="527">
        <f t="shared" ref="D40:H40" si="1">SUM(D5:D39)</f>
        <v>1225</v>
      </c>
      <c r="E40" s="528">
        <f t="shared" si="1"/>
        <v>218</v>
      </c>
      <c r="F40" s="526">
        <f t="shared" si="1"/>
        <v>153</v>
      </c>
      <c r="G40" s="529">
        <f t="shared" si="1"/>
        <v>429</v>
      </c>
      <c r="H40" s="530">
        <f t="shared" si="1"/>
        <v>425</v>
      </c>
    </row>
    <row r="41" spans="1:9" ht="15.75">
      <c r="A41" s="1085" t="s">
        <v>256</v>
      </c>
      <c r="B41" s="1086"/>
      <c r="C41" s="1086"/>
      <c r="D41" s="1086"/>
      <c r="E41" s="531">
        <f>'Processing Assumptions'!E41</f>
        <v>100</v>
      </c>
      <c r="F41" s="531">
        <f>'Processing Assumptions'!F41</f>
        <v>100</v>
      </c>
      <c r="G41" s="531">
        <f>'Processing Assumptions'!G41</f>
        <v>100</v>
      </c>
      <c r="H41" s="531">
        <f>'Processing Assumptions'!H41</f>
        <v>150</v>
      </c>
    </row>
    <row r="42" spans="1:9" ht="16.5" thickBot="1">
      <c r="A42" s="1152" t="s">
        <v>258</v>
      </c>
      <c r="B42" s="1153"/>
      <c r="C42" s="1153"/>
      <c r="D42" s="1153"/>
      <c r="E42" s="448">
        <f>E40*E41</f>
        <v>21800</v>
      </c>
      <c r="F42" s="448">
        <f>F40*F41</f>
        <v>15300</v>
      </c>
      <c r="G42" s="448">
        <f>G40*G41</f>
        <v>42900</v>
      </c>
      <c r="H42" s="464">
        <f>H40*H41</f>
        <v>63750</v>
      </c>
    </row>
    <row r="43" spans="1:9" ht="16.5" thickBot="1">
      <c r="A43" s="1087" t="s">
        <v>261</v>
      </c>
      <c r="B43" s="1088"/>
      <c r="C43" s="1088"/>
      <c r="D43" s="1088"/>
      <c r="E43" s="343">
        <f>'Processing Assumptions'!E43</f>
        <v>0.8</v>
      </c>
      <c r="F43" s="343">
        <f>'Processing Assumptions'!F43</f>
        <v>0.8</v>
      </c>
      <c r="G43" s="343">
        <f>'Processing Assumptions'!G43</f>
        <v>0.8</v>
      </c>
      <c r="H43" s="343">
        <f>'Processing Assumptions'!H43</f>
        <v>0.8</v>
      </c>
      <c r="I43" s="524" t="s">
        <v>259</v>
      </c>
    </row>
    <row r="44" spans="1:9" ht="16.5" thickBot="1">
      <c r="A44" s="1152" t="s">
        <v>416</v>
      </c>
      <c r="B44" s="1153"/>
      <c r="C44" s="1153"/>
      <c r="D44" s="1153"/>
      <c r="E44" s="448">
        <f>E42*E43</f>
        <v>17440</v>
      </c>
      <c r="F44" s="448">
        <f t="shared" ref="F44:H44" si="2">F42*F43</f>
        <v>12240</v>
      </c>
      <c r="G44" s="448">
        <f t="shared" si="2"/>
        <v>34320</v>
      </c>
      <c r="H44" s="464">
        <f t="shared" si="2"/>
        <v>51000</v>
      </c>
      <c r="I44" s="525">
        <f>SUM(E44:H44)</f>
        <v>115000</v>
      </c>
    </row>
    <row r="45" spans="1:9" ht="16.5" thickBot="1">
      <c r="A45" s="1148" t="s">
        <v>417</v>
      </c>
      <c r="B45" s="1149"/>
      <c r="C45" s="1149"/>
      <c r="D45" s="1149"/>
      <c r="E45" s="343">
        <f>'Processing Assumptions'!E45</f>
        <v>0.1</v>
      </c>
      <c r="F45" s="343">
        <f>'Processing Assumptions'!F45</f>
        <v>0.1</v>
      </c>
      <c r="G45" s="343">
        <f>'Processing Assumptions'!G45</f>
        <v>0.1</v>
      </c>
      <c r="H45" s="343">
        <f>'Processing Assumptions'!H45</f>
        <v>0.1</v>
      </c>
    </row>
    <row r="46" spans="1:9" ht="16.5" thickBot="1">
      <c r="A46" s="1150" t="s">
        <v>418</v>
      </c>
      <c r="B46" s="1151"/>
      <c r="C46" s="1151"/>
      <c r="D46" s="1151"/>
      <c r="E46" s="533">
        <f>(1-E45)*E44</f>
        <v>15696</v>
      </c>
      <c r="F46" s="533">
        <f t="shared" ref="F46:H46" si="3">(1-F45)*F44</f>
        <v>11016</v>
      </c>
      <c r="G46" s="533">
        <f t="shared" si="3"/>
        <v>30888</v>
      </c>
      <c r="H46" s="534">
        <f t="shared" si="3"/>
        <v>45900</v>
      </c>
      <c r="I46" s="525">
        <f>SUM(E46:H46)</f>
        <v>103500</v>
      </c>
    </row>
    <row r="48" spans="1:9" ht="13.5" thickBot="1"/>
    <row r="49" spans="1:19" ht="16.5" thickBot="1">
      <c r="A49" s="1059" t="s">
        <v>248</v>
      </c>
      <c r="B49" s="1043" t="s">
        <v>119</v>
      </c>
      <c r="C49" s="1021" t="s">
        <v>412</v>
      </c>
      <c r="D49" s="1022"/>
      <c r="E49" s="1022"/>
      <c r="F49" s="1022"/>
      <c r="G49" s="1022"/>
      <c r="H49" s="1022"/>
      <c r="I49" s="1022"/>
      <c r="J49" s="1022"/>
      <c r="K49" s="1022"/>
      <c r="L49" s="1022"/>
      <c r="M49" s="1022"/>
      <c r="N49" s="1023"/>
    </row>
    <row r="50" spans="1:19" ht="16.5" thickBot="1">
      <c r="A50" s="1060"/>
      <c r="B50" s="1044"/>
      <c r="C50" s="372">
        <v>44652</v>
      </c>
      <c r="D50" s="373">
        <v>44682</v>
      </c>
      <c r="E50" s="408">
        <v>44713</v>
      </c>
      <c r="F50" s="373">
        <v>44743</v>
      </c>
      <c r="G50" s="408">
        <v>44774</v>
      </c>
      <c r="H50" s="373">
        <v>44805</v>
      </c>
      <c r="I50" s="408">
        <v>44835</v>
      </c>
      <c r="J50" s="373">
        <v>44866</v>
      </c>
      <c r="K50" s="408">
        <v>44896</v>
      </c>
      <c r="L50" s="373">
        <v>44927</v>
      </c>
      <c r="M50" s="408">
        <v>44958</v>
      </c>
      <c r="N50" s="409">
        <v>44986</v>
      </c>
    </row>
    <row r="51" spans="1:19" ht="16.5" thickBot="1">
      <c r="A51" s="1058" t="s">
        <v>354</v>
      </c>
      <c r="B51" s="374" t="str">
        <f>E4</f>
        <v>Millets A</v>
      </c>
      <c r="C51" s="410">
        <f>'Processing Assumptions'!C51</f>
        <v>0</v>
      </c>
      <c r="D51" s="410">
        <f>'Processing Assumptions'!D51</f>
        <v>0</v>
      </c>
      <c r="E51" s="410">
        <f>'Processing Assumptions'!E51</f>
        <v>0</v>
      </c>
      <c r="F51" s="410">
        <f>'Processing Assumptions'!F51</f>
        <v>0.2</v>
      </c>
      <c r="G51" s="410">
        <f>'Processing Assumptions'!G51</f>
        <v>0.3</v>
      </c>
      <c r="H51" s="410">
        <f>'Processing Assumptions'!H51</f>
        <v>0.5</v>
      </c>
      <c r="I51" s="410">
        <f>'Processing Assumptions'!I51</f>
        <v>0</v>
      </c>
      <c r="J51" s="410">
        <f>'Processing Assumptions'!J51</f>
        <v>0</v>
      </c>
      <c r="K51" s="410">
        <f>'Processing Assumptions'!K51</f>
        <v>0</v>
      </c>
      <c r="L51" s="410">
        <f>'Processing Assumptions'!L51</f>
        <v>0</v>
      </c>
      <c r="M51" s="410">
        <f>'Processing Assumptions'!M51</f>
        <v>0</v>
      </c>
      <c r="N51" s="410">
        <f>'Processing Assumptions'!N51</f>
        <v>0</v>
      </c>
    </row>
    <row r="52" spans="1:19" ht="16.5" thickBot="1">
      <c r="A52" s="1004"/>
      <c r="B52" s="377" t="str">
        <f>F4</f>
        <v>Millets B</v>
      </c>
      <c r="C52" s="410">
        <f>'Processing Assumptions'!C52</f>
        <v>0</v>
      </c>
      <c r="D52" s="410">
        <f>'Processing Assumptions'!D52</f>
        <v>0</v>
      </c>
      <c r="E52" s="410">
        <f>'Processing Assumptions'!E52</f>
        <v>0</v>
      </c>
      <c r="F52" s="410">
        <f>'Processing Assumptions'!F52</f>
        <v>0</v>
      </c>
      <c r="G52" s="410">
        <f>'Processing Assumptions'!G52</f>
        <v>0</v>
      </c>
      <c r="H52" s="410">
        <f>'Processing Assumptions'!H52</f>
        <v>0.3</v>
      </c>
      <c r="I52" s="410">
        <f>'Processing Assumptions'!I52</f>
        <v>0.2</v>
      </c>
      <c r="J52" s="410">
        <f>'Processing Assumptions'!J52</f>
        <v>0.5</v>
      </c>
      <c r="K52" s="410">
        <f>'Processing Assumptions'!K52</f>
        <v>0</v>
      </c>
      <c r="L52" s="410">
        <f>'Processing Assumptions'!L52</f>
        <v>0</v>
      </c>
      <c r="M52" s="410">
        <f>'Processing Assumptions'!M52</f>
        <v>0</v>
      </c>
      <c r="N52" s="410">
        <f>'Processing Assumptions'!N52</f>
        <v>0</v>
      </c>
    </row>
    <row r="53" spans="1:19" ht="16.5" thickBot="1">
      <c r="A53" s="1004"/>
      <c r="B53" s="377" t="str">
        <f>G4</f>
        <v>Millets C</v>
      </c>
      <c r="C53" s="410">
        <f>'Processing Assumptions'!C53</f>
        <v>0</v>
      </c>
      <c r="D53" s="410">
        <f>'Processing Assumptions'!D53</f>
        <v>0</v>
      </c>
      <c r="E53" s="410">
        <f>'Processing Assumptions'!E53</f>
        <v>0</v>
      </c>
      <c r="F53" s="410">
        <f>'Processing Assumptions'!F53</f>
        <v>0</v>
      </c>
      <c r="G53" s="410">
        <f>'Processing Assumptions'!G53</f>
        <v>0.5</v>
      </c>
      <c r="H53" s="410">
        <f>'Processing Assumptions'!H53</f>
        <v>0.3</v>
      </c>
      <c r="I53" s="410">
        <f>'Processing Assumptions'!I53</f>
        <v>0.2</v>
      </c>
      <c r="J53" s="410">
        <f>'Processing Assumptions'!J53</f>
        <v>0</v>
      </c>
      <c r="K53" s="410">
        <f>'Processing Assumptions'!K53</f>
        <v>0</v>
      </c>
      <c r="L53" s="410">
        <f>'Processing Assumptions'!L53</f>
        <v>0</v>
      </c>
      <c r="M53" s="410">
        <f>'Processing Assumptions'!M53</f>
        <v>0</v>
      </c>
      <c r="N53" s="410">
        <f>'Processing Assumptions'!N53</f>
        <v>0</v>
      </c>
    </row>
    <row r="54" spans="1:19" ht="16.5" thickBot="1">
      <c r="A54" s="1005"/>
      <c r="B54" s="383" t="str">
        <f>H4</f>
        <v>Millets D</v>
      </c>
      <c r="C54" s="410">
        <f>'Processing Assumptions'!C54</f>
        <v>0</v>
      </c>
      <c r="D54" s="410">
        <f>'Processing Assumptions'!D54</f>
        <v>0</v>
      </c>
      <c r="E54" s="410">
        <f>'Processing Assumptions'!E54</f>
        <v>0.7</v>
      </c>
      <c r="F54" s="410">
        <f>'Processing Assumptions'!F54</f>
        <v>0.1</v>
      </c>
      <c r="G54" s="410">
        <f>'Processing Assumptions'!G54</f>
        <v>0.2</v>
      </c>
      <c r="H54" s="410">
        <f>'Processing Assumptions'!H54</f>
        <v>0</v>
      </c>
      <c r="I54" s="410">
        <f>'Processing Assumptions'!I54</f>
        <v>0</v>
      </c>
      <c r="J54" s="410">
        <f>'Processing Assumptions'!J54</f>
        <v>0</v>
      </c>
      <c r="K54" s="410">
        <f>'Processing Assumptions'!K54</f>
        <v>0</v>
      </c>
      <c r="L54" s="410">
        <f>'Processing Assumptions'!L54</f>
        <v>0</v>
      </c>
      <c r="M54" s="410">
        <f>'Processing Assumptions'!M54</f>
        <v>0</v>
      </c>
      <c r="N54" s="410">
        <f>'Processing Assumptions'!N54</f>
        <v>0</v>
      </c>
    </row>
    <row r="57" spans="1:19" ht="13.5" thickBot="1"/>
    <row r="58" spans="1:19" ht="16.5" thickBot="1">
      <c r="A58" s="1006" t="s">
        <v>318</v>
      </c>
      <c r="B58" s="1009" t="s">
        <v>319</v>
      </c>
      <c r="C58" s="1012" t="s">
        <v>363</v>
      </c>
      <c r="D58" s="1013"/>
      <c r="E58" s="1013"/>
      <c r="F58" s="1013"/>
      <c r="G58" s="1013"/>
      <c r="H58" s="1013"/>
      <c r="I58" s="1013"/>
      <c r="J58" s="1013"/>
      <c r="K58" s="1013"/>
      <c r="L58" s="1013"/>
      <c r="M58" s="1013"/>
      <c r="N58" s="1013"/>
      <c r="O58" s="1143" t="s">
        <v>280</v>
      </c>
      <c r="P58" s="1144"/>
      <c r="Q58" s="1144"/>
      <c r="R58" s="1145"/>
      <c r="S58" s="1043" t="s">
        <v>337</v>
      </c>
    </row>
    <row r="59" spans="1:19" ht="16.5" thickBot="1">
      <c r="A59" s="1007"/>
      <c r="B59" s="1010"/>
      <c r="C59" s="1014" t="s">
        <v>264</v>
      </c>
      <c r="D59" s="1015"/>
      <c r="E59" s="1016"/>
      <c r="F59" s="1014" t="s">
        <v>263</v>
      </c>
      <c r="G59" s="1015"/>
      <c r="H59" s="1016"/>
      <c r="I59" s="1014" t="s">
        <v>265</v>
      </c>
      <c r="J59" s="1015"/>
      <c r="K59" s="1016"/>
      <c r="L59" s="1014" t="s">
        <v>269</v>
      </c>
      <c r="M59" s="1015"/>
      <c r="N59" s="1015"/>
      <c r="O59" s="1146" t="s">
        <v>264</v>
      </c>
      <c r="P59" s="1146" t="s">
        <v>263</v>
      </c>
      <c r="Q59" s="1146" t="s">
        <v>265</v>
      </c>
      <c r="R59" s="1146" t="s">
        <v>269</v>
      </c>
      <c r="S59" s="1073"/>
    </row>
    <row r="60" spans="1:19" ht="16.5" thickBot="1">
      <c r="A60" s="1008"/>
      <c r="B60" s="1011"/>
      <c r="C60" s="391" t="s">
        <v>266</v>
      </c>
      <c r="D60" s="333" t="s">
        <v>267</v>
      </c>
      <c r="E60" s="334" t="s">
        <v>268</v>
      </c>
      <c r="F60" s="391" t="s">
        <v>266</v>
      </c>
      <c r="G60" s="333" t="s">
        <v>267</v>
      </c>
      <c r="H60" s="334" t="s">
        <v>268</v>
      </c>
      <c r="I60" s="391" t="s">
        <v>266</v>
      </c>
      <c r="J60" s="333" t="s">
        <v>267</v>
      </c>
      <c r="K60" s="334" t="s">
        <v>268</v>
      </c>
      <c r="L60" s="391" t="s">
        <v>266</v>
      </c>
      <c r="M60" s="333" t="s">
        <v>267</v>
      </c>
      <c r="N60" s="392" t="s">
        <v>268</v>
      </c>
      <c r="O60" s="1147"/>
      <c r="P60" s="1147"/>
      <c r="Q60" s="1147"/>
      <c r="R60" s="1147"/>
      <c r="S60" s="1073"/>
    </row>
    <row r="61" spans="1:19" ht="15.75">
      <c r="A61" s="1058" t="s">
        <v>354</v>
      </c>
      <c r="B61" s="374" t="str">
        <f>B51</f>
        <v>Millets A</v>
      </c>
      <c r="C61" s="394">
        <f>'Processing Assumptions'!C61</f>
        <v>75</v>
      </c>
      <c r="D61" s="394">
        <f>'Processing Assumptions'!D61</f>
        <v>76</v>
      </c>
      <c r="E61" s="394">
        <f>'Processing Assumptions'!E61</f>
        <v>78</v>
      </c>
      <c r="F61" s="394">
        <f>'Processing Assumptions'!F61</f>
        <v>110</v>
      </c>
      <c r="G61" s="394">
        <f>'Processing Assumptions'!G61</f>
        <v>112</v>
      </c>
      <c r="H61" s="394">
        <f>'Processing Assumptions'!H61</f>
        <v>114</v>
      </c>
      <c r="I61" s="394">
        <f>'Processing Assumptions'!I61</f>
        <v>95</v>
      </c>
      <c r="J61" s="394">
        <f>'Processing Assumptions'!J61</f>
        <v>98</v>
      </c>
      <c r="K61" s="394">
        <f>'Processing Assumptions'!K61</f>
        <v>99</v>
      </c>
      <c r="L61" s="394">
        <f>'Processing Assumptions'!L61</f>
        <v>70</v>
      </c>
      <c r="M61" s="394">
        <f>'Processing Assumptions'!M61</f>
        <v>70</v>
      </c>
      <c r="N61" s="394">
        <f>'Processing Assumptions'!N61</f>
        <v>70</v>
      </c>
      <c r="O61" s="455">
        <f>ROUND((AVERAGE(C61:E61))*(1+$S61),0)</f>
        <v>80</v>
      </c>
      <c r="P61" s="455">
        <f t="shared" ref="P61:R64" si="4">ROUND((AVERAGE(D61:F61))*(1+$S61),0)</f>
        <v>92</v>
      </c>
      <c r="Q61" s="455">
        <f t="shared" si="4"/>
        <v>105</v>
      </c>
      <c r="R61" s="455">
        <f t="shared" si="4"/>
        <v>118</v>
      </c>
      <c r="S61" s="402">
        <f>'Processing Assumptions'!O61</f>
        <v>0.05</v>
      </c>
    </row>
    <row r="62" spans="1:19" ht="15.75">
      <c r="A62" s="1004"/>
      <c r="B62" s="377" t="str">
        <f>B52</f>
        <v>Millets B</v>
      </c>
      <c r="C62" s="394">
        <f>'Processing Assumptions'!C62</f>
        <v>75</v>
      </c>
      <c r="D62" s="394">
        <f>'Processing Assumptions'!D62</f>
        <v>75</v>
      </c>
      <c r="E62" s="394">
        <f>'Processing Assumptions'!E62</f>
        <v>75</v>
      </c>
      <c r="F62" s="394">
        <f>'Processing Assumptions'!F62</f>
        <v>75</v>
      </c>
      <c r="G62" s="394">
        <f>'Processing Assumptions'!G62</f>
        <v>75</v>
      </c>
      <c r="H62" s="394">
        <f>'Processing Assumptions'!H62</f>
        <v>75</v>
      </c>
      <c r="I62" s="394">
        <f>'Processing Assumptions'!I62</f>
        <v>75</v>
      </c>
      <c r="J62" s="394">
        <f>'Processing Assumptions'!J62</f>
        <v>75</v>
      </c>
      <c r="K62" s="394">
        <f>'Processing Assumptions'!K62</f>
        <v>75</v>
      </c>
      <c r="L62" s="394">
        <f>'Processing Assumptions'!L62</f>
        <v>75</v>
      </c>
      <c r="M62" s="394">
        <f>'Processing Assumptions'!M62</f>
        <v>75</v>
      </c>
      <c r="N62" s="394">
        <f>'Processing Assumptions'!N62</f>
        <v>75</v>
      </c>
      <c r="O62" s="456">
        <f t="shared" ref="O62:O64" si="5">ROUND((AVERAGE(C62:E62))*(1+$S62),0)</f>
        <v>79</v>
      </c>
      <c r="P62" s="456">
        <f t="shared" si="4"/>
        <v>79</v>
      </c>
      <c r="Q62" s="456">
        <f t="shared" si="4"/>
        <v>79</v>
      </c>
      <c r="R62" s="456">
        <f t="shared" si="4"/>
        <v>79</v>
      </c>
      <c r="S62" s="402">
        <f>'Processing Assumptions'!O62</f>
        <v>0.05</v>
      </c>
    </row>
    <row r="63" spans="1:19" ht="15.75">
      <c r="A63" s="1004"/>
      <c r="B63" s="377" t="str">
        <f>B53</f>
        <v>Millets C</v>
      </c>
      <c r="C63" s="394">
        <f>'Processing Assumptions'!C63</f>
        <v>60</v>
      </c>
      <c r="D63" s="394">
        <f>'Processing Assumptions'!D63</f>
        <v>60</v>
      </c>
      <c r="E63" s="394">
        <f>'Processing Assumptions'!E63</f>
        <v>60</v>
      </c>
      <c r="F63" s="394">
        <f>'Processing Assumptions'!F63</f>
        <v>60</v>
      </c>
      <c r="G63" s="394">
        <f>'Processing Assumptions'!G63</f>
        <v>60</v>
      </c>
      <c r="H63" s="394">
        <f>'Processing Assumptions'!H63</f>
        <v>60</v>
      </c>
      <c r="I63" s="394">
        <f>'Processing Assumptions'!I63</f>
        <v>60</v>
      </c>
      <c r="J63" s="394">
        <f>'Processing Assumptions'!J63</f>
        <v>60</v>
      </c>
      <c r="K63" s="394">
        <f>'Processing Assumptions'!K63</f>
        <v>60</v>
      </c>
      <c r="L63" s="394">
        <f>'Processing Assumptions'!L63</f>
        <v>60</v>
      </c>
      <c r="M63" s="394">
        <f>'Processing Assumptions'!M63</f>
        <v>60</v>
      </c>
      <c r="N63" s="394">
        <f>'Processing Assumptions'!N63</f>
        <v>60</v>
      </c>
      <c r="O63" s="456">
        <f t="shared" si="5"/>
        <v>63</v>
      </c>
      <c r="P63" s="456">
        <f t="shared" si="4"/>
        <v>63</v>
      </c>
      <c r="Q63" s="456">
        <f t="shared" si="4"/>
        <v>63</v>
      </c>
      <c r="R63" s="456">
        <f t="shared" si="4"/>
        <v>63</v>
      </c>
      <c r="S63" s="402">
        <f>'Processing Assumptions'!O63</f>
        <v>0.05</v>
      </c>
    </row>
    <row r="64" spans="1:19" ht="15.75">
      <c r="A64" s="1003"/>
      <c r="B64" s="244" t="str">
        <f>B54</f>
        <v>Millets D</v>
      </c>
      <c r="C64" s="394">
        <f>'Processing Assumptions'!C64</f>
        <v>30</v>
      </c>
      <c r="D64" s="394">
        <f>'Processing Assumptions'!D64</f>
        <v>30</v>
      </c>
      <c r="E64" s="394">
        <f>'Processing Assumptions'!E64</f>
        <v>30</v>
      </c>
      <c r="F64" s="394">
        <f>'Processing Assumptions'!F64</f>
        <v>30</v>
      </c>
      <c r="G64" s="394">
        <f>'Processing Assumptions'!G64</f>
        <v>30</v>
      </c>
      <c r="H64" s="394">
        <f>'Processing Assumptions'!H64</f>
        <v>30</v>
      </c>
      <c r="I64" s="394">
        <f>'Processing Assumptions'!I64</f>
        <v>30</v>
      </c>
      <c r="J64" s="394">
        <f>'Processing Assumptions'!J64</f>
        <v>30</v>
      </c>
      <c r="K64" s="394">
        <f>'Processing Assumptions'!K64</f>
        <v>30</v>
      </c>
      <c r="L64" s="394">
        <f>'Processing Assumptions'!L64</f>
        <v>30</v>
      </c>
      <c r="M64" s="394">
        <f>'Processing Assumptions'!M64</f>
        <v>30</v>
      </c>
      <c r="N64" s="394">
        <f>'Processing Assumptions'!N64</f>
        <v>30</v>
      </c>
      <c r="O64" s="456">
        <f t="shared" si="5"/>
        <v>32</v>
      </c>
      <c r="P64" s="456">
        <f t="shared" si="4"/>
        <v>32</v>
      </c>
      <c r="Q64" s="456">
        <f t="shared" si="4"/>
        <v>32</v>
      </c>
      <c r="R64" s="456">
        <f t="shared" si="4"/>
        <v>32</v>
      </c>
      <c r="S64" s="402">
        <f>'Processing Assumptions'!O64</f>
        <v>0.05</v>
      </c>
    </row>
    <row r="67" spans="1:14" ht="13.5" thickBot="1"/>
    <row r="68" spans="1:14" ht="16.5" thickBot="1">
      <c r="A68" s="1059" t="s">
        <v>248</v>
      </c>
      <c r="B68" s="1043" t="s">
        <v>119</v>
      </c>
      <c r="C68" s="1021" t="s">
        <v>415</v>
      </c>
      <c r="D68" s="1022"/>
      <c r="E68" s="1022"/>
      <c r="F68" s="1022"/>
      <c r="G68" s="1022"/>
      <c r="H68" s="1022"/>
      <c r="I68" s="1022"/>
      <c r="J68" s="1022"/>
      <c r="K68" s="1022"/>
      <c r="L68" s="1022"/>
      <c r="M68" s="1022"/>
      <c r="N68" s="1023"/>
    </row>
    <row r="69" spans="1:14" ht="16.5" thickBot="1">
      <c r="A69" s="1060"/>
      <c r="B69" s="1044"/>
      <c r="C69" s="372">
        <v>44652</v>
      </c>
      <c r="D69" s="373">
        <v>44682</v>
      </c>
      <c r="E69" s="408">
        <v>44713</v>
      </c>
      <c r="F69" s="373">
        <v>44743</v>
      </c>
      <c r="G69" s="408">
        <v>44774</v>
      </c>
      <c r="H69" s="373">
        <v>44805</v>
      </c>
      <c r="I69" s="408">
        <v>44835</v>
      </c>
      <c r="J69" s="373">
        <v>44866</v>
      </c>
      <c r="K69" s="408">
        <v>44896</v>
      </c>
      <c r="L69" s="373">
        <v>44927</v>
      </c>
      <c r="M69" s="408">
        <v>44958</v>
      </c>
      <c r="N69" s="409">
        <v>44986</v>
      </c>
    </row>
    <row r="70" spans="1:14" ht="15.75">
      <c r="A70" s="1058" t="s">
        <v>354</v>
      </c>
      <c r="B70" s="374" t="str">
        <f>B61</f>
        <v>Millets A</v>
      </c>
      <c r="C70" s="512">
        <f>$E$44*C51</f>
        <v>0</v>
      </c>
      <c r="D70" s="512">
        <f t="shared" ref="D70:N70" si="6">$E$44*D51</f>
        <v>0</v>
      </c>
      <c r="E70" s="512">
        <f t="shared" si="6"/>
        <v>0</v>
      </c>
      <c r="F70" s="512">
        <f t="shared" si="6"/>
        <v>3488</v>
      </c>
      <c r="G70" s="512">
        <f t="shared" si="6"/>
        <v>5232</v>
      </c>
      <c r="H70" s="512">
        <f t="shared" si="6"/>
        <v>8720</v>
      </c>
      <c r="I70" s="512">
        <f t="shared" si="6"/>
        <v>0</v>
      </c>
      <c r="J70" s="512">
        <f t="shared" si="6"/>
        <v>0</v>
      </c>
      <c r="K70" s="512">
        <f t="shared" si="6"/>
        <v>0</v>
      </c>
      <c r="L70" s="512">
        <f t="shared" si="6"/>
        <v>0</v>
      </c>
      <c r="M70" s="512">
        <f t="shared" si="6"/>
        <v>0</v>
      </c>
      <c r="N70" s="513">
        <f t="shared" si="6"/>
        <v>0</v>
      </c>
    </row>
    <row r="71" spans="1:14" ht="15.75">
      <c r="A71" s="1004"/>
      <c r="B71" s="377" t="str">
        <f>B62</f>
        <v>Millets B</v>
      </c>
      <c r="C71" s="514">
        <f>$F$44*C52</f>
        <v>0</v>
      </c>
      <c r="D71" s="514">
        <f t="shared" ref="D71:N71" si="7">$F$44*D52</f>
        <v>0</v>
      </c>
      <c r="E71" s="514">
        <f t="shared" si="7"/>
        <v>0</v>
      </c>
      <c r="F71" s="514">
        <f t="shared" si="7"/>
        <v>0</v>
      </c>
      <c r="G71" s="514">
        <f t="shared" si="7"/>
        <v>0</v>
      </c>
      <c r="H71" s="514">
        <f t="shared" si="7"/>
        <v>3672</v>
      </c>
      <c r="I71" s="514">
        <f t="shared" si="7"/>
        <v>2448</v>
      </c>
      <c r="J71" s="514">
        <f t="shared" si="7"/>
        <v>6120</v>
      </c>
      <c r="K71" s="514">
        <f t="shared" si="7"/>
        <v>0</v>
      </c>
      <c r="L71" s="514">
        <f t="shared" si="7"/>
        <v>0</v>
      </c>
      <c r="M71" s="514">
        <f t="shared" si="7"/>
        <v>0</v>
      </c>
      <c r="N71" s="515">
        <f t="shared" si="7"/>
        <v>0</v>
      </c>
    </row>
    <row r="72" spans="1:14" ht="15.75">
      <c r="A72" s="1004"/>
      <c r="B72" s="377" t="str">
        <f>B63</f>
        <v>Millets C</v>
      </c>
      <c r="C72" s="514">
        <f>$G$44*C53</f>
        <v>0</v>
      </c>
      <c r="D72" s="514">
        <f t="shared" ref="D72:N72" si="8">$G$44*D53</f>
        <v>0</v>
      </c>
      <c r="E72" s="514">
        <f t="shared" si="8"/>
        <v>0</v>
      </c>
      <c r="F72" s="514">
        <f t="shared" si="8"/>
        <v>0</v>
      </c>
      <c r="G72" s="514">
        <f t="shared" si="8"/>
        <v>17160</v>
      </c>
      <c r="H72" s="514">
        <f t="shared" si="8"/>
        <v>10296</v>
      </c>
      <c r="I72" s="514">
        <f t="shared" si="8"/>
        <v>6864</v>
      </c>
      <c r="J72" s="514">
        <f t="shared" si="8"/>
        <v>0</v>
      </c>
      <c r="K72" s="514">
        <f t="shared" si="8"/>
        <v>0</v>
      </c>
      <c r="L72" s="514">
        <f t="shared" si="8"/>
        <v>0</v>
      </c>
      <c r="M72" s="514">
        <f t="shared" si="8"/>
        <v>0</v>
      </c>
      <c r="N72" s="515">
        <f t="shared" si="8"/>
        <v>0</v>
      </c>
    </row>
    <row r="73" spans="1:14" ht="16.5" thickBot="1">
      <c r="A73" s="1005"/>
      <c r="B73" s="383" t="str">
        <f>B64</f>
        <v>Millets D</v>
      </c>
      <c r="C73" s="538">
        <f>$H$44*C54</f>
        <v>0</v>
      </c>
      <c r="D73" s="538">
        <f t="shared" ref="D73:N73" si="9">$H$44*D54</f>
        <v>0</v>
      </c>
      <c r="E73" s="538">
        <f t="shared" si="9"/>
        <v>35700</v>
      </c>
      <c r="F73" s="538">
        <f t="shared" si="9"/>
        <v>5100</v>
      </c>
      <c r="G73" s="538">
        <f t="shared" si="9"/>
        <v>10200</v>
      </c>
      <c r="H73" s="538">
        <f t="shared" si="9"/>
        <v>0</v>
      </c>
      <c r="I73" s="538">
        <f t="shared" si="9"/>
        <v>0</v>
      </c>
      <c r="J73" s="538">
        <f t="shared" si="9"/>
        <v>0</v>
      </c>
      <c r="K73" s="538">
        <f t="shared" si="9"/>
        <v>0</v>
      </c>
      <c r="L73" s="538">
        <f t="shared" si="9"/>
        <v>0</v>
      </c>
      <c r="M73" s="538">
        <f t="shared" si="9"/>
        <v>0</v>
      </c>
      <c r="N73" s="539">
        <f t="shared" si="9"/>
        <v>0</v>
      </c>
    </row>
    <row r="74" spans="1:14" ht="13.5" thickBot="1">
      <c r="A74" s="1136" t="s">
        <v>259</v>
      </c>
      <c r="B74" s="1138"/>
      <c r="C74" s="540">
        <f>SUM(C70:C73)</f>
        <v>0</v>
      </c>
      <c r="D74" s="541">
        <f t="shared" ref="D74:N74" si="10">SUM(D70:D73)</f>
        <v>0</v>
      </c>
      <c r="E74" s="541">
        <f t="shared" si="10"/>
        <v>35700</v>
      </c>
      <c r="F74" s="541">
        <f t="shared" si="10"/>
        <v>8588</v>
      </c>
      <c r="G74" s="541">
        <f t="shared" si="10"/>
        <v>32592</v>
      </c>
      <c r="H74" s="541">
        <f t="shared" si="10"/>
        <v>22688</v>
      </c>
      <c r="I74" s="541">
        <f t="shared" si="10"/>
        <v>9312</v>
      </c>
      <c r="J74" s="541">
        <f t="shared" si="10"/>
        <v>6120</v>
      </c>
      <c r="K74" s="541">
        <f t="shared" si="10"/>
        <v>0</v>
      </c>
      <c r="L74" s="541">
        <f t="shared" si="10"/>
        <v>0</v>
      </c>
      <c r="M74" s="541">
        <f t="shared" si="10"/>
        <v>0</v>
      </c>
      <c r="N74" s="542">
        <f t="shared" si="10"/>
        <v>0</v>
      </c>
    </row>
    <row r="75" spans="1:14" ht="13.5" thickBot="1"/>
    <row r="76" spans="1:14" ht="16.5" thickBot="1">
      <c r="A76" s="1059" t="s">
        <v>248</v>
      </c>
      <c r="B76" s="1043" t="s">
        <v>119</v>
      </c>
      <c r="C76" s="1021" t="s">
        <v>411</v>
      </c>
      <c r="D76" s="1022"/>
      <c r="E76" s="1022"/>
      <c r="F76" s="1022"/>
      <c r="G76" s="1022"/>
      <c r="H76" s="1022"/>
      <c r="I76" s="1022"/>
      <c r="J76" s="1022"/>
      <c r="K76" s="1022"/>
      <c r="L76" s="1022"/>
      <c r="M76" s="1022"/>
      <c r="N76" s="1023"/>
    </row>
    <row r="77" spans="1:14" ht="16.5" thickBot="1">
      <c r="A77" s="1060"/>
      <c r="B77" s="1044"/>
      <c r="C77" s="372">
        <v>44652</v>
      </c>
      <c r="D77" s="373">
        <v>44682</v>
      </c>
      <c r="E77" s="408">
        <v>44713</v>
      </c>
      <c r="F77" s="373">
        <v>44743</v>
      </c>
      <c r="G77" s="408">
        <v>44774</v>
      </c>
      <c r="H77" s="373">
        <v>44805</v>
      </c>
      <c r="I77" s="408">
        <v>44835</v>
      </c>
      <c r="J77" s="373">
        <v>44866</v>
      </c>
      <c r="K77" s="408">
        <v>44896</v>
      </c>
      <c r="L77" s="373">
        <v>44927</v>
      </c>
      <c r="M77" s="408">
        <v>44958</v>
      </c>
      <c r="N77" s="409">
        <v>44986</v>
      </c>
    </row>
    <row r="78" spans="1:14" ht="15.75">
      <c r="A78" s="1058" t="s">
        <v>354</v>
      </c>
      <c r="B78" s="374" t="str">
        <f>B70</f>
        <v>Millets A</v>
      </c>
      <c r="C78" s="512">
        <f>C70*O61</f>
        <v>0</v>
      </c>
      <c r="D78" s="512">
        <f>D70*O61</f>
        <v>0</v>
      </c>
      <c r="E78" s="512">
        <f>E70*O61</f>
        <v>0</v>
      </c>
      <c r="F78" s="512">
        <f>F70*P61</f>
        <v>320896</v>
      </c>
      <c r="G78" s="512">
        <f>G70*P61</f>
        <v>481344</v>
      </c>
      <c r="H78" s="512">
        <f>H70*P61</f>
        <v>802240</v>
      </c>
      <c r="I78" s="512">
        <f>I70*Q61</f>
        <v>0</v>
      </c>
      <c r="J78" s="512">
        <f>J70*Q61</f>
        <v>0</v>
      </c>
      <c r="K78" s="512">
        <f>K70*Q61</f>
        <v>0</v>
      </c>
      <c r="L78" s="512">
        <f>L70*R61</f>
        <v>0</v>
      </c>
      <c r="M78" s="512">
        <f>M70*R61</f>
        <v>0</v>
      </c>
      <c r="N78" s="513">
        <f>N70*R61</f>
        <v>0</v>
      </c>
    </row>
    <row r="79" spans="1:14" ht="15.75">
      <c r="A79" s="1004"/>
      <c r="B79" s="377" t="str">
        <f>B71</f>
        <v>Millets B</v>
      </c>
      <c r="C79" s="514">
        <f t="shared" ref="C79:C81" si="11">C71*O62</f>
        <v>0</v>
      </c>
      <c r="D79" s="514">
        <f t="shared" ref="D79:D81" si="12">D71*O62</f>
        <v>0</v>
      </c>
      <c r="E79" s="514">
        <f t="shared" ref="E79:F79" si="13">E71*O62</f>
        <v>0</v>
      </c>
      <c r="F79" s="514">
        <f t="shared" si="13"/>
        <v>0</v>
      </c>
      <c r="G79" s="514">
        <f t="shared" ref="G79:G81" si="14">G71*P62</f>
        <v>0</v>
      </c>
      <c r="H79" s="514">
        <f t="shared" ref="H79:I79" si="15">H71*P62</f>
        <v>290088</v>
      </c>
      <c r="I79" s="514">
        <f t="shared" si="15"/>
        <v>193392</v>
      </c>
      <c r="J79" s="514">
        <f t="shared" ref="J79:J81" si="16">J71*Q62</f>
        <v>483480</v>
      </c>
      <c r="K79" s="514">
        <f t="shared" ref="K79:L79" si="17">K71*Q62</f>
        <v>0</v>
      </c>
      <c r="L79" s="514">
        <f t="shared" si="17"/>
        <v>0</v>
      </c>
      <c r="M79" s="514">
        <f t="shared" ref="M79:M81" si="18">M71*R62</f>
        <v>0</v>
      </c>
      <c r="N79" s="515">
        <f t="shared" ref="N79:N81" si="19">N71*R62</f>
        <v>0</v>
      </c>
    </row>
    <row r="80" spans="1:14" ht="16.5" thickBot="1">
      <c r="A80" s="1004"/>
      <c r="B80" s="377" t="str">
        <f>B72</f>
        <v>Millets C</v>
      </c>
      <c r="C80" s="514">
        <f t="shared" si="11"/>
        <v>0</v>
      </c>
      <c r="D80" s="514">
        <f t="shared" si="12"/>
        <v>0</v>
      </c>
      <c r="E80" s="514">
        <f t="shared" ref="E80:F80" si="20">E72*O63</f>
        <v>0</v>
      </c>
      <c r="F80" s="514">
        <f t="shared" si="20"/>
        <v>0</v>
      </c>
      <c r="G80" s="514">
        <f t="shared" si="14"/>
        <v>1081080</v>
      </c>
      <c r="H80" s="514">
        <f t="shared" ref="H80:I80" si="21">H72*P63</f>
        <v>648648</v>
      </c>
      <c r="I80" s="514">
        <f t="shared" si="21"/>
        <v>432432</v>
      </c>
      <c r="J80" s="514">
        <f t="shared" si="16"/>
        <v>0</v>
      </c>
      <c r="K80" s="514">
        <f t="shared" ref="K80:L80" si="22">K72*Q63</f>
        <v>0</v>
      </c>
      <c r="L80" s="514">
        <f t="shared" si="22"/>
        <v>0</v>
      </c>
      <c r="M80" s="514">
        <f t="shared" si="18"/>
        <v>0</v>
      </c>
      <c r="N80" s="515">
        <f t="shared" si="19"/>
        <v>0</v>
      </c>
    </row>
    <row r="81" spans="1:15" ht="16.5" thickBot="1">
      <c r="A81" s="1005"/>
      <c r="B81" s="383" t="str">
        <f>B73</f>
        <v>Millets D</v>
      </c>
      <c r="C81" s="516">
        <f t="shared" si="11"/>
        <v>0</v>
      </c>
      <c r="D81" s="516">
        <f t="shared" si="12"/>
        <v>0</v>
      </c>
      <c r="E81" s="516">
        <f t="shared" ref="E81:F81" si="23">E73*O64</f>
        <v>1142400</v>
      </c>
      <c r="F81" s="516">
        <f t="shared" si="23"/>
        <v>163200</v>
      </c>
      <c r="G81" s="516">
        <f t="shared" si="14"/>
        <v>326400</v>
      </c>
      <c r="H81" s="516">
        <f t="shared" ref="H81:I81" si="24">H73*P64</f>
        <v>0</v>
      </c>
      <c r="I81" s="516">
        <f t="shared" si="24"/>
        <v>0</v>
      </c>
      <c r="J81" s="516">
        <f t="shared" si="16"/>
        <v>0</v>
      </c>
      <c r="K81" s="516">
        <f t="shared" ref="K81:L81" si="25">K73*Q64</f>
        <v>0</v>
      </c>
      <c r="L81" s="516">
        <f t="shared" si="25"/>
        <v>0</v>
      </c>
      <c r="M81" s="516">
        <f t="shared" si="18"/>
        <v>0</v>
      </c>
      <c r="N81" s="517">
        <f t="shared" si="19"/>
        <v>0</v>
      </c>
      <c r="O81" s="544" t="s">
        <v>259</v>
      </c>
    </row>
    <row r="82" spans="1:15" ht="16.5" thickBot="1">
      <c r="A82" s="1136" t="s">
        <v>259</v>
      </c>
      <c r="B82" s="1137"/>
      <c r="C82" s="521">
        <f>SUM(C78:C81)</f>
        <v>0</v>
      </c>
      <c r="D82" s="521">
        <f t="shared" ref="D82:N82" si="26">SUM(D78:D81)</f>
        <v>0</v>
      </c>
      <c r="E82" s="521">
        <f t="shared" si="26"/>
        <v>1142400</v>
      </c>
      <c r="F82" s="521">
        <f t="shared" si="26"/>
        <v>484096</v>
      </c>
      <c r="G82" s="521">
        <f t="shared" si="26"/>
        <v>1888824</v>
      </c>
      <c r="H82" s="521">
        <f t="shared" si="26"/>
        <v>1740976</v>
      </c>
      <c r="I82" s="521">
        <f t="shared" si="26"/>
        <v>625824</v>
      </c>
      <c r="J82" s="521">
        <f t="shared" si="26"/>
        <v>483480</v>
      </c>
      <c r="K82" s="521">
        <f t="shared" si="26"/>
        <v>0</v>
      </c>
      <c r="L82" s="521">
        <f t="shared" si="26"/>
        <v>0</v>
      </c>
      <c r="M82" s="521">
        <f t="shared" si="26"/>
        <v>0</v>
      </c>
      <c r="N82" s="522">
        <f t="shared" si="26"/>
        <v>0</v>
      </c>
      <c r="O82" s="543">
        <f>SUM(C82:N82)</f>
        <v>6365600</v>
      </c>
    </row>
    <row r="84" spans="1:15" ht="13.5" thickBot="1"/>
    <row r="85" spans="1:15" ht="16.5" thickBot="1">
      <c r="A85" s="1059" t="s">
        <v>248</v>
      </c>
      <c r="B85" s="1043" t="s">
        <v>119</v>
      </c>
      <c r="C85" s="1021" t="s">
        <v>414</v>
      </c>
      <c r="D85" s="1022"/>
      <c r="E85" s="1022"/>
      <c r="F85" s="1022"/>
      <c r="G85" s="1022"/>
      <c r="H85" s="1022"/>
      <c r="I85" s="1022"/>
      <c r="J85" s="1022"/>
      <c r="K85" s="1022"/>
      <c r="L85" s="1022"/>
      <c r="M85" s="1022"/>
      <c r="N85" s="1023"/>
    </row>
    <row r="86" spans="1:15" ht="16.5" thickBot="1">
      <c r="A86" s="1060"/>
      <c r="B86" s="1044"/>
      <c r="C86" s="372">
        <v>44652</v>
      </c>
      <c r="D86" s="373">
        <v>44682</v>
      </c>
      <c r="E86" s="408">
        <v>44713</v>
      </c>
      <c r="F86" s="373">
        <v>44743</v>
      </c>
      <c r="G86" s="408">
        <v>44774</v>
      </c>
      <c r="H86" s="373">
        <v>44805</v>
      </c>
      <c r="I86" s="408">
        <v>44835</v>
      </c>
      <c r="J86" s="373">
        <v>44866</v>
      </c>
      <c r="K86" s="408">
        <v>44896</v>
      </c>
      <c r="L86" s="373">
        <v>44927</v>
      </c>
      <c r="M86" s="408">
        <v>44958</v>
      </c>
      <c r="N86" s="409">
        <v>44986</v>
      </c>
    </row>
    <row r="87" spans="1:15" ht="16.5" thickBot="1">
      <c r="A87" s="1058" t="s">
        <v>354</v>
      </c>
      <c r="B87" s="374" t="str">
        <f>B78</f>
        <v>Millets A</v>
      </c>
      <c r="C87" s="512">
        <f t="shared" ref="C87:E87" si="27">C70*(1-$E$45)</f>
        <v>0</v>
      </c>
      <c r="D87" s="512">
        <f t="shared" si="27"/>
        <v>0</v>
      </c>
      <c r="E87" s="512">
        <f t="shared" si="27"/>
        <v>0</v>
      </c>
      <c r="F87" s="512">
        <f>F70*(1-$E$45)</f>
        <v>3139.2000000000003</v>
      </c>
      <c r="G87" s="512">
        <f t="shared" ref="G87:N87" si="28">G70*(1-$E$45)</f>
        <v>4708.8</v>
      </c>
      <c r="H87" s="512">
        <f t="shared" si="28"/>
        <v>7848</v>
      </c>
      <c r="I87" s="512">
        <f t="shared" si="28"/>
        <v>0</v>
      </c>
      <c r="J87" s="512">
        <f t="shared" si="28"/>
        <v>0</v>
      </c>
      <c r="K87" s="512">
        <f t="shared" si="28"/>
        <v>0</v>
      </c>
      <c r="L87" s="512">
        <f t="shared" si="28"/>
        <v>0</v>
      </c>
      <c r="M87" s="512">
        <f t="shared" si="28"/>
        <v>0</v>
      </c>
      <c r="N87" s="513">
        <f t="shared" si="28"/>
        <v>0</v>
      </c>
    </row>
    <row r="88" spans="1:15" ht="16.5" thickBot="1">
      <c r="A88" s="1004"/>
      <c r="B88" s="377" t="str">
        <f>B79</f>
        <v>Millets B</v>
      </c>
      <c r="C88" s="514">
        <f t="shared" ref="C88:E88" si="29">C71*(1-$F$45)</f>
        <v>0</v>
      </c>
      <c r="D88" s="514">
        <f t="shared" si="29"/>
        <v>0</v>
      </c>
      <c r="E88" s="514">
        <f t="shared" si="29"/>
        <v>0</v>
      </c>
      <c r="F88" s="512">
        <f>F71*(1-$F$45)</f>
        <v>0</v>
      </c>
      <c r="G88" s="514">
        <f t="shared" ref="G88:N88" si="30">G71*(1-$F$45)</f>
        <v>0</v>
      </c>
      <c r="H88" s="514">
        <f t="shared" si="30"/>
        <v>3304.8</v>
      </c>
      <c r="I88" s="514">
        <f t="shared" si="30"/>
        <v>2203.2000000000003</v>
      </c>
      <c r="J88" s="514">
        <f t="shared" si="30"/>
        <v>5508</v>
      </c>
      <c r="K88" s="514">
        <f t="shared" si="30"/>
        <v>0</v>
      </c>
      <c r="L88" s="514">
        <f t="shared" si="30"/>
        <v>0</v>
      </c>
      <c r="M88" s="514">
        <f t="shared" si="30"/>
        <v>0</v>
      </c>
      <c r="N88" s="515">
        <f t="shared" si="30"/>
        <v>0</v>
      </c>
    </row>
    <row r="89" spans="1:15" ht="15.75">
      <c r="A89" s="1004"/>
      <c r="B89" s="377" t="str">
        <f>B80</f>
        <v>Millets C</v>
      </c>
      <c r="C89" s="514">
        <f t="shared" ref="C89:E89" si="31">C72*(1-$G$45)</f>
        <v>0</v>
      </c>
      <c r="D89" s="514">
        <f t="shared" si="31"/>
        <v>0</v>
      </c>
      <c r="E89" s="514">
        <f t="shared" si="31"/>
        <v>0</v>
      </c>
      <c r="F89" s="512">
        <f>F72*(1-$G$45)</f>
        <v>0</v>
      </c>
      <c r="G89" s="514">
        <f t="shared" ref="G89:N89" si="32">G72*(1-$G$45)</f>
        <v>15444</v>
      </c>
      <c r="H89" s="514">
        <f t="shared" si="32"/>
        <v>9266.4</v>
      </c>
      <c r="I89" s="514">
        <f t="shared" si="32"/>
        <v>6177.6</v>
      </c>
      <c r="J89" s="514">
        <f t="shared" si="32"/>
        <v>0</v>
      </c>
      <c r="K89" s="514">
        <f t="shared" si="32"/>
        <v>0</v>
      </c>
      <c r="L89" s="514">
        <f t="shared" si="32"/>
        <v>0</v>
      </c>
      <c r="M89" s="514">
        <f t="shared" si="32"/>
        <v>0</v>
      </c>
      <c r="N89" s="515">
        <f t="shared" si="32"/>
        <v>0</v>
      </c>
    </row>
    <row r="90" spans="1:15" ht="16.5" thickBot="1">
      <c r="A90" s="1005"/>
      <c r="B90" s="383" t="str">
        <f>B81</f>
        <v>Millets D</v>
      </c>
      <c r="C90" s="516">
        <f t="shared" ref="C90:E90" si="33">C73*(1-$H$45)</f>
        <v>0</v>
      </c>
      <c r="D90" s="516">
        <f t="shared" si="33"/>
        <v>0</v>
      </c>
      <c r="E90" s="516">
        <f t="shared" si="33"/>
        <v>32130</v>
      </c>
      <c r="F90" s="516">
        <f>F73*(1-$H$45)</f>
        <v>4590</v>
      </c>
      <c r="G90" s="516">
        <f t="shared" ref="G90:N90" si="34">G73*(1-$H$45)</f>
        <v>9180</v>
      </c>
      <c r="H90" s="516">
        <f t="shared" si="34"/>
        <v>0</v>
      </c>
      <c r="I90" s="516">
        <f t="shared" si="34"/>
        <v>0</v>
      </c>
      <c r="J90" s="516">
        <f t="shared" si="34"/>
        <v>0</v>
      </c>
      <c r="K90" s="516">
        <f t="shared" si="34"/>
        <v>0</v>
      </c>
      <c r="L90" s="516">
        <f t="shared" si="34"/>
        <v>0</v>
      </c>
      <c r="M90" s="516">
        <f t="shared" si="34"/>
        <v>0</v>
      </c>
      <c r="N90" s="517">
        <f t="shared" si="34"/>
        <v>0</v>
      </c>
    </row>
    <row r="91" spans="1:15" ht="16.5" thickBot="1">
      <c r="A91" s="1136" t="s">
        <v>259</v>
      </c>
      <c r="B91" s="1137"/>
      <c r="C91" s="521">
        <f>SUM(C87:C90)</f>
        <v>0</v>
      </c>
      <c r="D91" s="521">
        <f t="shared" ref="D91" si="35">SUM(D87:D90)</f>
        <v>0</v>
      </c>
      <c r="E91" s="521">
        <f t="shared" ref="E91" si="36">SUM(E87:E90)</f>
        <v>32130</v>
      </c>
      <c r="F91" s="521">
        <f t="shared" ref="F91" si="37">SUM(F87:F90)</f>
        <v>7729.2000000000007</v>
      </c>
      <c r="G91" s="521">
        <f t="shared" ref="G91" si="38">SUM(G87:G90)</f>
        <v>29332.799999999999</v>
      </c>
      <c r="H91" s="521">
        <f t="shared" ref="H91" si="39">SUM(H87:H90)</f>
        <v>20419.199999999997</v>
      </c>
      <c r="I91" s="521">
        <f t="shared" ref="I91" si="40">SUM(I87:I90)</f>
        <v>8380.8000000000011</v>
      </c>
      <c r="J91" s="521">
        <f t="shared" ref="J91" si="41">SUM(J87:J90)</f>
        <v>5508</v>
      </c>
      <c r="K91" s="521">
        <f t="shared" ref="K91" si="42">SUM(K87:K90)</f>
        <v>0</v>
      </c>
      <c r="L91" s="521">
        <f t="shared" ref="L91" si="43">SUM(L87:L90)</f>
        <v>0</v>
      </c>
      <c r="M91" s="521">
        <f t="shared" ref="M91" si="44">SUM(M87:M90)</f>
        <v>0</v>
      </c>
      <c r="N91" s="522">
        <f t="shared" ref="N91" si="45">SUM(N87:N90)</f>
        <v>0</v>
      </c>
    </row>
    <row r="96" spans="1:15" ht="13.5" thickBot="1"/>
    <row r="97" spans="1:23" ht="16.5" thickBot="1">
      <c r="A97" s="1178" t="s">
        <v>364</v>
      </c>
      <c r="B97" s="1175" t="s">
        <v>365</v>
      </c>
      <c r="C97" s="1141" t="s">
        <v>366</v>
      </c>
      <c r="D97" s="1139" t="s">
        <v>367</v>
      </c>
      <c r="E97" s="1012" t="s">
        <v>410</v>
      </c>
      <c r="F97" s="1013"/>
      <c r="G97" s="1013"/>
      <c r="H97" s="1013"/>
      <c r="I97" s="1013"/>
      <c r="J97" s="1013"/>
      <c r="K97" s="1013"/>
      <c r="L97" s="1013"/>
      <c r="M97" s="1013"/>
      <c r="N97" s="1013"/>
      <c r="O97" s="1013"/>
      <c r="P97" s="1013"/>
      <c r="Q97" s="1013"/>
      <c r="R97" s="1013"/>
      <c r="S97" s="1027"/>
    </row>
    <row r="98" spans="1:23" ht="30.75" thickBot="1">
      <c r="A98" s="1179"/>
      <c r="B98" s="1176"/>
      <c r="C98" s="1142"/>
      <c r="D98" s="1140"/>
      <c r="E98" s="640" t="s">
        <v>368</v>
      </c>
      <c r="F98" s="641" t="s">
        <v>369</v>
      </c>
      <c r="G98" s="642" t="s">
        <v>370</v>
      </c>
      <c r="H98" s="518">
        <v>44652</v>
      </c>
      <c r="I98" s="421">
        <v>44682</v>
      </c>
      <c r="J98" s="519">
        <v>44713</v>
      </c>
      <c r="K98" s="421">
        <v>44743</v>
      </c>
      <c r="L98" s="519">
        <v>44774</v>
      </c>
      <c r="M98" s="421">
        <v>44805</v>
      </c>
      <c r="N98" s="519">
        <v>44835</v>
      </c>
      <c r="O98" s="421">
        <v>44866</v>
      </c>
      <c r="P98" s="519">
        <v>44896</v>
      </c>
      <c r="Q98" s="421">
        <v>44927</v>
      </c>
      <c r="R98" s="519">
        <v>44958</v>
      </c>
      <c r="S98" s="520">
        <v>44986</v>
      </c>
    </row>
    <row r="99" spans="1:23" s="509" customFormat="1" ht="15.75">
      <c r="A99" s="1177" t="s">
        <v>413</v>
      </c>
      <c r="B99" s="504" t="str">
        <f>'Processing Assumptions'!B73</f>
        <v>Payment to farmers</v>
      </c>
      <c r="C99" s="505" t="str">
        <f>'Processing Assumptions'!C73</f>
        <v>Variable Cost</v>
      </c>
      <c r="D99" s="506" t="str">
        <f>'Processing Assumptions'!D73</f>
        <v>Kg</v>
      </c>
      <c r="E99" s="566">
        <f>'Processing Assumptions'!E73</f>
        <v>0</v>
      </c>
      <c r="F99" s="507">
        <f>E44+F44+G44+H44</f>
        <v>115000</v>
      </c>
      <c r="G99" s="535">
        <f>SUM(H99:S99)</f>
        <v>6365600</v>
      </c>
      <c r="H99" s="536">
        <f>C82</f>
        <v>0</v>
      </c>
      <c r="I99" s="536">
        <f t="shared" ref="I99:S99" si="46">D82</f>
        <v>0</v>
      </c>
      <c r="J99" s="536">
        <f t="shared" si="46"/>
        <v>1142400</v>
      </c>
      <c r="K99" s="536">
        <f t="shared" si="46"/>
        <v>484096</v>
      </c>
      <c r="L99" s="536">
        <f t="shared" si="46"/>
        <v>1888824</v>
      </c>
      <c r="M99" s="536">
        <f t="shared" si="46"/>
        <v>1740976</v>
      </c>
      <c r="N99" s="536">
        <f t="shared" si="46"/>
        <v>625824</v>
      </c>
      <c r="O99" s="536">
        <f t="shared" si="46"/>
        <v>483480</v>
      </c>
      <c r="P99" s="536">
        <f t="shared" si="46"/>
        <v>0</v>
      </c>
      <c r="Q99" s="536">
        <f t="shared" si="46"/>
        <v>0</v>
      </c>
      <c r="R99" s="536">
        <f t="shared" si="46"/>
        <v>0</v>
      </c>
      <c r="S99" s="536">
        <f t="shared" si="46"/>
        <v>0</v>
      </c>
      <c r="T99" s="537"/>
      <c r="U99" s="537"/>
      <c r="V99" s="537"/>
      <c r="W99" s="537"/>
    </row>
    <row r="100" spans="1:23" s="565" customFormat="1" ht="15.75">
      <c r="A100" s="1168"/>
      <c r="B100" s="504" t="str">
        <f>'Processing Assumptions'!B74</f>
        <v>Qty Loss in Processing</v>
      </c>
      <c r="C100" s="505" t="str">
        <f>'Processing Assumptions'!C74</f>
        <v>Variable Cost</v>
      </c>
      <c r="D100" s="506" t="str">
        <f>'Processing Assumptions'!D74</f>
        <v>Kg</v>
      </c>
      <c r="E100" s="615">
        <f>'Processing Assumptions'!E74</f>
        <v>0.1</v>
      </c>
      <c r="F100" s="562">
        <f>F99*10%</f>
        <v>11500</v>
      </c>
      <c r="G100" s="535">
        <f>SUM(H100:S100)</f>
        <v>636560</v>
      </c>
      <c r="H100" s="563">
        <f>C82*$E$100</f>
        <v>0</v>
      </c>
      <c r="I100" s="563">
        <f t="shared" ref="I100:S100" si="47">D82*$E$100</f>
        <v>0</v>
      </c>
      <c r="J100" s="563">
        <f t="shared" si="47"/>
        <v>114240</v>
      </c>
      <c r="K100" s="563">
        <f t="shared" si="47"/>
        <v>48409.600000000006</v>
      </c>
      <c r="L100" s="563">
        <f t="shared" si="47"/>
        <v>188882.40000000002</v>
      </c>
      <c r="M100" s="563">
        <f t="shared" si="47"/>
        <v>174097.6</v>
      </c>
      <c r="N100" s="563">
        <f t="shared" si="47"/>
        <v>62582.400000000001</v>
      </c>
      <c r="O100" s="563">
        <f t="shared" si="47"/>
        <v>48348</v>
      </c>
      <c r="P100" s="563">
        <f t="shared" si="47"/>
        <v>0</v>
      </c>
      <c r="Q100" s="563">
        <f t="shared" si="47"/>
        <v>0</v>
      </c>
      <c r="R100" s="563">
        <f t="shared" si="47"/>
        <v>0</v>
      </c>
      <c r="S100" s="563">
        <f t="shared" si="47"/>
        <v>0</v>
      </c>
      <c r="T100" s="537"/>
      <c r="U100" s="564"/>
      <c r="V100" s="564"/>
      <c r="W100" s="564"/>
    </row>
    <row r="101" spans="1:23" s="509" customFormat="1" ht="15.75">
      <c r="A101" s="1168"/>
      <c r="B101" s="504" t="str">
        <f>'Processing Assumptions'!B75</f>
        <v>Labour -Loading</v>
      </c>
      <c r="C101" s="505" t="str">
        <f>'Processing Assumptions'!C75</f>
        <v>Variable Cost</v>
      </c>
      <c r="D101" s="506" t="str">
        <f>'Processing Assumptions'!D75</f>
        <v>Bag</v>
      </c>
      <c r="E101" s="566">
        <f>'Processing Assumptions'!E75</f>
        <v>5</v>
      </c>
      <c r="F101" s="507">
        <f>F99/60</f>
        <v>1916.6666666666667</v>
      </c>
      <c r="G101" s="535">
        <f>E101*F101</f>
        <v>9583.3333333333339</v>
      </c>
      <c r="H101" s="536">
        <f>(C$74/60)*$E$101</f>
        <v>0</v>
      </c>
      <c r="I101" s="536">
        <f t="shared" ref="I101:S101" si="48">(D$74/60)*$E$101</f>
        <v>0</v>
      </c>
      <c r="J101" s="536">
        <f t="shared" si="48"/>
        <v>2975</v>
      </c>
      <c r="K101" s="536">
        <f t="shared" si="48"/>
        <v>715.66666666666663</v>
      </c>
      <c r="L101" s="536">
        <f t="shared" si="48"/>
        <v>2716</v>
      </c>
      <c r="M101" s="536">
        <f t="shared" si="48"/>
        <v>1890.6666666666665</v>
      </c>
      <c r="N101" s="536">
        <f t="shared" si="48"/>
        <v>776</v>
      </c>
      <c r="O101" s="536">
        <f t="shared" si="48"/>
        <v>510</v>
      </c>
      <c r="P101" s="536">
        <f t="shared" si="48"/>
        <v>0</v>
      </c>
      <c r="Q101" s="536">
        <f t="shared" si="48"/>
        <v>0</v>
      </c>
      <c r="R101" s="536">
        <f t="shared" si="48"/>
        <v>0</v>
      </c>
      <c r="S101" s="536">
        <f t="shared" si="48"/>
        <v>0</v>
      </c>
      <c r="T101" s="537"/>
      <c r="U101" s="537"/>
      <c r="V101" s="537"/>
      <c r="W101" s="537"/>
    </row>
    <row r="102" spans="1:23" s="509" customFormat="1" ht="30">
      <c r="A102" s="1168"/>
      <c r="B102" s="504" t="str">
        <f>'Processing Assumptions'!B76</f>
        <v>Packaging - Sag, Sewing</v>
      </c>
      <c r="C102" s="505" t="str">
        <f>'Processing Assumptions'!C76</f>
        <v>Variable Cost</v>
      </c>
      <c r="D102" s="506" t="str">
        <f>'Processing Assumptions'!D76</f>
        <v>Bag</v>
      </c>
      <c r="E102" s="566">
        <f>'Processing Assumptions'!E76</f>
        <v>20</v>
      </c>
      <c r="F102" s="510">
        <f>F99/60</f>
        <v>1916.6666666666667</v>
      </c>
      <c r="G102" s="535">
        <f t="shared" ref="G102:G123" si="49">E102*F102</f>
        <v>38333.333333333336</v>
      </c>
      <c r="H102" s="536">
        <f>(C$74/60)*$E$102</f>
        <v>0</v>
      </c>
      <c r="I102" s="536">
        <f t="shared" ref="I102:S102" si="50">(D$74/60)*$E$102</f>
        <v>0</v>
      </c>
      <c r="J102" s="536">
        <f t="shared" si="50"/>
        <v>11900</v>
      </c>
      <c r="K102" s="536">
        <f t="shared" si="50"/>
        <v>2862.6666666666665</v>
      </c>
      <c r="L102" s="536">
        <f t="shared" si="50"/>
        <v>10864</v>
      </c>
      <c r="M102" s="536">
        <f t="shared" si="50"/>
        <v>7562.6666666666661</v>
      </c>
      <c r="N102" s="536">
        <f t="shared" si="50"/>
        <v>3104</v>
      </c>
      <c r="O102" s="536">
        <f t="shared" si="50"/>
        <v>2040</v>
      </c>
      <c r="P102" s="536">
        <f t="shared" si="50"/>
        <v>0</v>
      </c>
      <c r="Q102" s="536">
        <f t="shared" si="50"/>
        <v>0</v>
      </c>
      <c r="R102" s="536">
        <f t="shared" si="50"/>
        <v>0</v>
      </c>
      <c r="S102" s="536">
        <f t="shared" si="50"/>
        <v>0</v>
      </c>
      <c r="T102" s="537"/>
      <c r="U102" s="537"/>
      <c r="V102" s="537"/>
      <c r="W102" s="537"/>
    </row>
    <row r="103" spans="1:23" s="509" customFormat="1" ht="30">
      <c r="A103" s="1168"/>
      <c r="B103" s="504" t="str">
        <f>'Processing Assumptions'!B77</f>
        <v>Human Resource ( Collection Cluster RP)</v>
      </c>
      <c r="C103" s="505" t="str">
        <f>'Processing Assumptions'!C77</f>
        <v>Variable Cost</v>
      </c>
      <c r="D103" s="506" t="str">
        <f>'Processing Assumptions'!D77</f>
        <v>Persons</v>
      </c>
      <c r="E103" s="566">
        <f>'Processing Assumptions'!E77</f>
        <v>18000</v>
      </c>
      <c r="F103" s="507">
        <f>'Processing Assumptions'!F77</f>
        <v>4</v>
      </c>
      <c r="G103" s="535">
        <f t="shared" si="49"/>
        <v>72000</v>
      </c>
      <c r="H103" s="536">
        <f>$G$103/12</f>
        <v>6000</v>
      </c>
      <c r="I103" s="536">
        <f t="shared" ref="I103:S103" si="51">$G$103/12</f>
        <v>6000</v>
      </c>
      <c r="J103" s="536">
        <f t="shared" si="51"/>
        <v>6000</v>
      </c>
      <c r="K103" s="536">
        <f t="shared" si="51"/>
        <v>6000</v>
      </c>
      <c r="L103" s="536">
        <f t="shared" si="51"/>
        <v>6000</v>
      </c>
      <c r="M103" s="536">
        <f t="shared" si="51"/>
        <v>6000</v>
      </c>
      <c r="N103" s="536">
        <f t="shared" si="51"/>
        <v>6000</v>
      </c>
      <c r="O103" s="536">
        <f t="shared" si="51"/>
        <v>6000</v>
      </c>
      <c r="P103" s="536">
        <f t="shared" si="51"/>
        <v>6000</v>
      </c>
      <c r="Q103" s="536">
        <f t="shared" si="51"/>
        <v>6000</v>
      </c>
      <c r="R103" s="536">
        <f t="shared" si="51"/>
        <v>6000</v>
      </c>
      <c r="S103" s="536">
        <f t="shared" si="51"/>
        <v>6000</v>
      </c>
      <c r="T103" s="537"/>
      <c r="U103" s="537"/>
      <c r="V103" s="537"/>
      <c r="W103" s="537"/>
    </row>
    <row r="104" spans="1:23" s="509" customFormat="1" ht="30">
      <c r="A104" s="1169"/>
      <c r="B104" s="504" t="str">
        <f>'Processing Assumptions'!B78</f>
        <v>Transportation Up to Storage</v>
      </c>
      <c r="C104" s="505" t="str">
        <f>'Processing Assumptions'!C78</f>
        <v>Variable Cost</v>
      </c>
      <c r="D104" s="506" t="str">
        <f>'Processing Assumptions'!D78</f>
        <v>Pick up load</v>
      </c>
      <c r="E104" s="566">
        <f>'Processing Assumptions'!E78</f>
        <v>2000</v>
      </c>
      <c r="F104" s="507">
        <f>F99/2000</f>
        <v>57.5</v>
      </c>
      <c r="G104" s="535">
        <f t="shared" si="49"/>
        <v>115000</v>
      </c>
      <c r="H104" s="536">
        <f t="shared" ref="H104:I104" si="52">(C$74/2000)*$E$104</f>
        <v>0</v>
      </c>
      <c r="I104" s="536">
        <f t="shared" si="52"/>
        <v>0</v>
      </c>
      <c r="J104" s="536">
        <f>(E$74/2000)*$E$104</f>
        <v>35700</v>
      </c>
      <c r="K104" s="536">
        <f t="shared" ref="K104:S104" si="53">(F$74/2000)*$E$104</f>
        <v>8588</v>
      </c>
      <c r="L104" s="536">
        <f t="shared" si="53"/>
        <v>32592</v>
      </c>
      <c r="M104" s="536">
        <f t="shared" si="53"/>
        <v>22688</v>
      </c>
      <c r="N104" s="536">
        <f t="shared" si="53"/>
        <v>9312</v>
      </c>
      <c r="O104" s="536">
        <f t="shared" si="53"/>
        <v>6120</v>
      </c>
      <c r="P104" s="536">
        <f t="shared" si="53"/>
        <v>0</v>
      </c>
      <c r="Q104" s="536">
        <f t="shared" si="53"/>
        <v>0</v>
      </c>
      <c r="R104" s="536">
        <f t="shared" si="53"/>
        <v>0</v>
      </c>
      <c r="S104" s="536">
        <f t="shared" si="53"/>
        <v>0</v>
      </c>
      <c r="T104" s="537"/>
      <c r="U104" s="537"/>
      <c r="V104" s="537"/>
      <c r="W104" s="537"/>
    </row>
    <row r="105" spans="1:23" s="509" customFormat="1" ht="15.75">
      <c r="A105" s="1167" t="s">
        <v>381</v>
      </c>
      <c r="B105" s="561" t="str">
        <f>'Processing Assumptions'!B79</f>
        <v xml:space="preserve">Labour -Unloading </v>
      </c>
      <c r="C105" s="505" t="str">
        <f>'Processing Assumptions'!C79</f>
        <v>Variable Cost</v>
      </c>
      <c r="D105" s="506" t="str">
        <f>'Processing Assumptions'!D79</f>
        <v>bag</v>
      </c>
      <c r="E105" s="566">
        <f>'Processing Assumptions'!E79</f>
        <v>3</v>
      </c>
      <c r="F105" s="507">
        <f>F99/60</f>
        <v>1916.6666666666667</v>
      </c>
      <c r="G105" s="535">
        <f t="shared" si="49"/>
        <v>5750</v>
      </c>
      <c r="H105" s="536">
        <f>(C$74/60)*$E$105</f>
        <v>0</v>
      </c>
      <c r="I105" s="536">
        <f t="shared" ref="I105:S105" si="54">(D$74/60)*$E$105</f>
        <v>0</v>
      </c>
      <c r="J105" s="536">
        <f t="shared" si="54"/>
        <v>1785</v>
      </c>
      <c r="K105" s="536">
        <f t="shared" si="54"/>
        <v>429.4</v>
      </c>
      <c r="L105" s="536">
        <f t="shared" si="54"/>
        <v>1629.6000000000001</v>
      </c>
      <c r="M105" s="536">
        <f t="shared" si="54"/>
        <v>1134.4000000000001</v>
      </c>
      <c r="N105" s="536">
        <f t="shared" si="54"/>
        <v>465.59999999999997</v>
      </c>
      <c r="O105" s="536">
        <f t="shared" si="54"/>
        <v>306</v>
      </c>
      <c r="P105" s="536">
        <f t="shared" si="54"/>
        <v>0</v>
      </c>
      <c r="Q105" s="536">
        <f t="shared" si="54"/>
        <v>0</v>
      </c>
      <c r="R105" s="536">
        <f t="shared" si="54"/>
        <v>0</v>
      </c>
      <c r="S105" s="536">
        <f t="shared" si="54"/>
        <v>0</v>
      </c>
      <c r="T105" s="537"/>
      <c r="U105" s="537"/>
      <c r="V105" s="537"/>
      <c r="W105" s="537"/>
    </row>
    <row r="106" spans="1:23" s="509" customFormat="1" ht="15.75">
      <c r="A106" s="1168"/>
      <c r="B106" s="561" t="str">
        <f>'Processing Assumptions'!B80</f>
        <v>Production manager</v>
      </c>
      <c r="C106" s="505" t="str">
        <f>'Processing Assumptions'!C80</f>
        <v>Fix Cost</v>
      </c>
      <c r="D106" s="506" t="str">
        <f>'Processing Assumptions'!D80</f>
        <v>Person</v>
      </c>
      <c r="E106" s="566">
        <f>'Processing Assumptions'!E80</f>
        <v>180000</v>
      </c>
      <c r="F106" s="511">
        <f>'Processing Assumptions'!F80</f>
        <v>1</v>
      </c>
      <c r="G106" s="535">
        <f t="shared" si="49"/>
        <v>180000</v>
      </c>
      <c r="H106" s="536">
        <f>$G$106/12</f>
        <v>15000</v>
      </c>
      <c r="I106" s="536">
        <f t="shared" ref="I106:S106" si="55">$G$106/12</f>
        <v>15000</v>
      </c>
      <c r="J106" s="536">
        <f t="shared" si="55"/>
        <v>15000</v>
      </c>
      <c r="K106" s="536">
        <f t="shared" si="55"/>
        <v>15000</v>
      </c>
      <c r="L106" s="536">
        <f t="shared" si="55"/>
        <v>15000</v>
      </c>
      <c r="M106" s="536">
        <f t="shared" si="55"/>
        <v>15000</v>
      </c>
      <c r="N106" s="536">
        <f t="shared" si="55"/>
        <v>15000</v>
      </c>
      <c r="O106" s="536">
        <f t="shared" si="55"/>
        <v>15000</v>
      </c>
      <c r="P106" s="536">
        <f t="shared" si="55"/>
        <v>15000</v>
      </c>
      <c r="Q106" s="536">
        <f t="shared" si="55"/>
        <v>15000</v>
      </c>
      <c r="R106" s="536">
        <f t="shared" si="55"/>
        <v>15000</v>
      </c>
      <c r="S106" s="536">
        <f t="shared" si="55"/>
        <v>15000</v>
      </c>
      <c r="T106" s="537"/>
      <c r="U106" s="537"/>
      <c r="V106" s="537"/>
      <c r="W106" s="537"/>
    </row>
    <row r="107" spans="1:23" s="509" customFormat="1" ht="15.75">
      <c r="A107" s="1169"/>
      <c r="B107" s="561" t="str">
        <f>'Processing Assumptions'!B81</f>
        <v>2 Stock Room - Rent</v>
      </c>
      <c r="C107" s="505" t="str">
        <f>'Processing Assumptions'!C81</f>
        <v>Fix Cost</v>
      </c>
      <c r="D107" s="506" t="str">
        <f>'Processing Assumptions'!D81</f>
        <v>Month</v>
      </c>
      <c r="E107" s="566">
        <f>'Processing Assumptions'!E81</f>
        <v>6000</v>
      </c>
      <c r="F107" s="511">
        <f>'Processing Assumptions'!F81</f>
        <v>12</v>
      </c>
      <c r="G107" s="535">
        <f t="shared" si="49"/>
        <v>72000</v>
      </c>
      <c r="H107" s="536">
        <f>$G$107/12</f>
        <v>6000</v>
      </c>
      <c r="I107" s="536">
        <f t="shared" ref="I107:S107" si="56">$G$107/12</f>
        <v>6000</v>
      </c>
      <c r="J107" s="536">
        <f t="shared" si="56"/>
        <v>6000</v>
      </c>
      <c r="K107" s="536">
        <f t="shared" si="56"/>
        <v>6000</v>
      </c>
      <c r="L107" s="536">
        <f t="shared" si="56"/>
        <v>6000</v>
      </c>
      <c r="M107" s="536">
        <f t="shared" si="56"/>
        <v>6000</v>
      </c>
      <c r="N107" s="536">
        <f t="shared" si="56"/>
        <v>6000</v>
      </c>
      <c r="O107" s="536">
        <f t="shared" si="56"/>
        <v>6000</v>
      </c>
      <c r="P107" s="536">
        <f t="shared" si="56"/>
        <v>6000</v>
      </c>
      <c r="Q107" s="536">
        <f t="shared" si="56"/>
        <v>6000</v>
      </c>
      <c r="R107" s="536">
        <f t="shared" si="56"/>
        <v>6000</v>
      </c>
      <c r="S107" s="536">
        <f t="shared" si="56"/>
        <v>6000</v>
      </c>
      <c r="T107" s="537"/>
      <c r="U107" s="537"/>
      <c r="V107" s="537"/>
      <c r="W107" s="537"/>
    </row>
    <row r="108" spans="1:23" s="509" customFormat="1" ht="15.75">
      <c r="A108" s="503" t="s">
        <v>389</v>
      </c>
      <c r="B108" s="561" t="str">
        <f>'Processing Assumptions'!B82</f>
        <v>Labour</v>
      </c>
      <c r="C108" s="505" t="str">
        <f>'Processing Assumptions'!C82</f>
        <v>Variable Cost</v>
      </c>
      <c r="D108" s="506" t="str">
        <f>'Processing Assumptions'!D82</f>
        <v>Person days</v>
      </c>
      <c r="E108" s="566">
        <f>'Processing Assumptions'!E82</f>
        <v>200</v>
      </c>
      <c r="F108" s="511">
        <f>'Processing Assumptions'!F82</f>
        <v>360</v>
      </c>
      <c r="G108" s="535">
        <f t="shared" si="49"/>
        <v>72000</v>
      </c>
      <c r="H108" s="536"/>
      <c r="I108" s="536"/>
      <c r="J108" s="536">
        <f>$G$108/6</f>
        <v>12000</v>
      </c>
      <c r="K108" s="536">
        <f t="shared" ref="K108:O108" si="57">$G$108/6</f>
        <v>12000</v>
      </c>
      <c r="L108" s="536">
        <f t="shared" si="57"/>
        <v>12000</v>
      </c>
      <c r="M108" s="536">
        <f t="shared" si="57"/>
        <v>12000</v>
      </c>
      <c r="N108" s="536">
        <f t="shared" si="57"/>
        <v>12000</v>
      </c>
      <c r="O108" s="536">
        <f t="shared" si="57"/>
        <v>12000</v>
      </c>
      <c r="P108" s="536"/>
      <c r="Q108" s="536"/>
      <c r="R108" s="536"/>
      <c r="S108" s="536"/>
      <c r="T108" s="537"/>
      <c r="U108" s="537"/>
      <c r="V108" s="537"/>
      <c r="W108" s="537"/>
    </row>
    <row r="109" spans="1:23" s="509" customFormat="1" ht="15.75">
      <c r="A109" s="1170" t="s">
        <v>246</v>
      </c>
      <c r="B109" s="561" t="str">
        <f>'Processing Assumptions'!B83</f>
        <v xml:space="preserve">Electricity-Meter Rent </v>
      </c>
      <c r="C109" s="505" t="str">
        <f>'Processing Assumptions'!C83</f>
        <v>Fix Cost</v>
      </c>
      <c r="D109" s="506" t="str">
        <f>'Processing Assumptions'!D83</f>
        <v xml:space="preserve">Month </v>
      </c>
      <c r="E109" s="566">
        <f>'Processing Assumptions'!E83</f>
        <v>50</v>
      </c>
      <c r="F109" s="511">
        <f>'Processing Assumptions'!F83</f>
        <v>12</v>
      </c>
      <c r="G109" s="535">
        <f t="shared" si="49"/>
        <v>600</v>
      </c>
      <c r="H109" s="536">
        <f>$G$109/12</f>
        <v>50</v>
      </c>
      <c r="I109" s="536">
        <f t="shared" ref="I109:S109" si="58">$G$109/12</f>
        <v>50</v>
      </c>
      <c r="J109" s="536">
        <f t="shared" si="58"/>
        <v>50</v>
      </c>
      <c r="K109" s="536">
        <f t="shared" si="58"/>
        <v>50</v>
      </c>
      <c r="L109" s="536">
        <f t="shared" si="58"/>
        <v>50</v>
      </c>
      <c r="M109" s="536">
        <f t="shared" si="58"/>
        <v>50</v>
      </c>
      <c r="N109" s="536">
        <f t="shared" si="58"/>
        <v>50</v>
      </c>
      <c r="O109" s="536">
        <f t="shared" si="58"/>
        <v>50</v>
      </c>
      <c r="P109" s="536">
        <f t="shared" si="58"/>
        <v>50</v>
      </c>
      <c r="Q109" s="536">
        <f t="shared" si="58"/>
        <v>50</v>
      </c>
      <c r="R109" s="536">
        <f t="shared" si="58"/>
        <v>50</v>
      </c>
      <c r="S109" s="536">
        <f t="shared" si="58"/>
        <v>50</v>
      </c>
      <c r="T109" s="537"/>
      <c r="U109" s="537"/>
      <c r="V109" s="537"/>
      <c r="W109" s="537"/>
    </row>
    <row r="110" spans="1:23" s="509" customFormat="1" ht="15.75">
      <c r="A110" s="1171"/>
      <c r="B110" s="561" t="str">
        <f>'Processing Assumptions'!B84</f>
        <v>Electricity- Running Cost</v>
      </c>
      <c r="C110" s="505" t="str">
        <f>'Processing Assumptions'!C84</f>
        <v>Variable Cost</v>
      </c>
      <c r="D110" s="506" t="str">
        <f>'Processing Assumptions'!D84</f>
        <v>Month</v>
      </c>
      <c r="E110" s="566">
        <f>'Processing Assumptions'!E84</f>
        <v>9</v>
      </c>
      <c r="F110" s="511">
        <f>'Processing Assumptions'!F84</f>
        <v>100</v>
      </c>
      <c r="G110" s="535">
        <f>E110*F110*180</f>
        <v>162000</v>
      </c>
      <c r="H110" s="536"/>
      <c r="I110" s="536"/>
      <c r="J110" s="536">
        <f>$G$110/6</f>
        <v>27000</v>
      </c>
      <c r="K110" s="536">
        <f t="shared" ref="K110:O110" si="59">$G$110/6</f>
        <v>27000</v>
      </c>
      <c r="L110" s="536">
        <f t="shared" si="59"/>
        <v>27000</v>
      </c>
      <c r="M110" s="536">
        <f t="shared" si="59"/>
        <v>27000</v>
      </c>
      <c r="N110" s="536">
        <f t="shared" si="59"/>
        <v>27000</v>
      </c>
      <c r="O110" s="536">
        <f t="shared" si="59"/>
        <v>27000</v>
      </c>
      <c r="P110" s="536"/>
      <c r="Q110" s="536"/>
      <c r="R110" s="536"/>
      <c r="S110" s="536"/>
      <c r="T110" s="537"/>
      <c r="U110" s="537"/>
      <c r="V110" s="537"/>
      <c r="W110" s="537"/>
    </row>
    <row r="111" spans="1:23" s="509" customFormat="1" ht="15.75">
      <c r="A111" s="1171"/>
      <c r="B111" s="561" t="str">
        <f>'Processing Assumptions'!B85</f>
        <v xml:space="preserve">Rent Space </v>
      </c>
      <c r="C111" s="505" t="str">
        <f>'Processing Assumptions'!C85</f>
        <v>Fix Cost</v>
      </c>
      <c r="D111" s="506" t="str">
        <f>'Processing Assumptions'!D85</f>
        <v>Month</v>
      </c>
      <c r="E111" s="566">
        <f>'Processing Assumptions'!E85</f>
        <v>2500</v>
      </c>
      <c r="F111" s="511">
        <f>'Processing Assumptions'!F85</f>
        <v>12</v>
      </c>
      <c r="G111" s="535">
        <f t="shared" si="49"/>
        <v>30000</v>
      </c>
      <c r="H111" s="536">
        <f>$G$111/12</f>
        <v>2500</v>
      </c>
      <c r="I111" s="536">
        <f t="shared" ref="I111:S111" si="60">$G$111/12</f>
        <v>2500</v>
      </c>
      <c r="J111" s="536">
        <f t="shared" si="60"/>
        <v>2500</v>
      </c>
      <c r="K111" s="536">
        <f t="shared" si="60"/>
        <v>2500</v>
      </c>
      <c r="L111" s="536">
        <f t="shared" si="60"/>
        <v>2500</v>
      </c>
      <c r="M111" s="536">
        <f t="shared" si="60"/>
        <v>2500</v>
      </c>
      <c r="N111" s="536">
        <f t="shared" si="60"/>
        <v>2500</v>
      </c>
      <c r="O111" s="536">
        <f t="shared" si="60"/>
        <v>2500</v>
      </c>
      <c r="P111" s="536">
        <f t="shared" si="60"/>
        <v>2500</v>
      </c>
      <c r="Q111" s="536">
        <f t="shared" si="60"/>
        <v>2500</v>
      </c>
      <c r="R111" s="536">
        <f t="shared" si="60"/>
        <v>2500</v>
      </c>
      <c r="S111" s="536">
        <f t="shared" si="60"/>
        <v>2500</v>
      </c>
      <c r="T111" s="537"/>
      <c r="U111" s="537"/>
      <c r="V111" s="537"/>
      <c r="W111" s="537"/>
    </row>
    <row r="112" spans="1:23" s="509" customFormat="1" ht="15.75">
      <c r="A112" s="1171"/>
      <c r="B112" s="561" t="str">
        <f>'Processing Assumptions'!B86</f>
        <v>Helper</v>
      </c>
      <c r="C112" s="505" t="str">
        <f>'Processing Assumptions'!C86</f>
        <v>Variable Cost</v>
      </c>
      <c r="D112" s="506" t="str">
        <f>'Processing Assumptions'!D86</f>
        <v>Person days</v>
      </c>
      <c r="E112" s="566">
        <f>'Processing Assumptions'!E86</f>
        <v>200</v>
      </c>
      <c r="F112" s="511">
        <f>'Processing Assumptions'!F86</f>
        <v>180</v>
      </c>
      <c r="G112" s="535">
        <f t="shared" si="49"/>
        <v>36000</v>
      </c>
      <c r="H112" s="536"/>
      <c r="I112" s="536"/>
      <c r="J112" s="536">
        <f>$G$112/6</f>
        <v>6000</v>
      </c>
      <c r="K112" s="536">
        <f t="shared" ref="K112:O112" si="61">$G$112/6</f>
        <v>6000</v>
      </c>
      <c r="L112" s="536">
        <f t="shared" si="61"/>
        <v>6000</v>
      </c>
      <c r="M112" s="536">
        <f t="shared" si="61"/>
        <v>6000</v>
      </c>
      <c r="N112" s="536">
        <f t="shared" si="61"/>
        <v>6000</v>
      </c>
      <c r="O112" s="536">
        <f t="shared" si="61"/>
        <v>6000</v>
      </c>
      <c r="P112" s="536"/>
      <c r="Q112" s="536"/>
      <c r="R112" s="536"/>
      <c r="S112" s="536"/>
      <c r="T112" s="537"/>
      <c r="U112" s="537"/>
      <c r="V112" s="537"/>
      <c r="W112" s="537"/>
    </row>
    <row r="113" spans="1:23" s="509" customFormat="1" ht="15.75">
      <c r="A113" s="1172"/>
      <c r="B113" s="561" t="str">
        <f>'Processing Assumptions'!B87</f>
        <v>Operator</v>
      </c>
      <c r="C113" s="505" t="str">
        <f>'Processing Assumptions'!C87</f>
        <v>Variable Cost</v>
      </c>
      <c r="D113" s="506" t="str">
        <f>'Processing Assumptions'!D87</f>
        <v>Person days</v>
      </c>
      <c r="E113" s="566">
        <f>'Processing Assumptions'!E87</f>
        <v>400</v>
      </c>
      <c r="F113" s="511">
        <f>'Processing Assumptions'!F87</f>
        <v>180</v>
      </c>
      <c r="G113" s="535">
        <f t="shared" si="49"/>
        <v>72000</v>
      </c>
      <c r="H113" s="536"/>
      <c r="I113" s="536"/>
      <c r="J113" s="536">
        <f>$G$113/6</f>
        <v>12000</v>
      </c>
      <c r="K113" s="536">
        <f t="shared" ref="K113:O113" si="62">$G$113/6</f>
        <v>12000</v>
      </c>
      <c r="L113" s="536">
        <f t="shared" si="62"/>
        <v>12000</v>
      </c>
      <c r="M113" s="536">
        <f t="shared" si="62"/>
        <v>12000</v>
      </c>
      <c r="N113" s="536">
        <f t="shared" si="62"/>
        <v>12000</v>
      </c>
      <c r="O113" s="536">
        <f t="shared" si="62"/>
        <v>12000</v>
      </c>
      <c r="P113" s="536"/>
      <c r="Q113" s="536"/>
      <c r="R113" s="536"/>
      <c r="S113" s="536"/>
      <c r="T113" s="537"/>
      <c r="U113" s="537"/>
      <c r="V113" s="537"/>
      <c r="W113" s="537"/>
    </row>
    <row r="114" spans="1:23" s="509" customFormat="1" ht="15.75">
      <c r="A114" s="1170" t="s">
        <v>398</v>
      </c>
      <c r="B114" s="561" t="str">
        <f>'Processing Assumptions'!B88</f>
        <v xml:space="preserve">Electricity-Meter Rent </v>
      </c>
      <c r="C114" s="505" t="str">
        <f>'Processing Assumptions'!C88</f>
        <v>Fix Cost</v>
      </c>
      <c r="D114" s="506" t="str">
        <f>'Processing Assumptions'!D88</f>
        <v xml:space="preserve">Month </v>
      </c>
      <c r="E114" s="566">
        <f>'Processing Assumptions'!E88</f>
        <v>50</v>
      </c>
      <c r="F114" s="511">
        <f>'Processing Assumptions'!F88</f>
        <v>12</v>
      </c>
      <c r="G114" s="535">
        <f t="shared" si="49"/>
        <v>600</v>
      </c>
      <c r="H114" s="536">
        <f>$G$114/12</f>
        <v>50</v>
      </c>
      <c r="I114" s="536">
        <f t="shared" ref="I114:S114" si="63">$G$114/12</f>
        <v>50</v>
      </c>
      <c r="J114" s="536">
        <f t="shared" si="63"/>
        <v>50</v>
      </c>
      <c r="K114" s="536">
        <f t="shared" si="63"/>
        <v>50</v>
      </c>
      <c r="L114" s="536">
        <f t="shared" si="63"/>
        <v>50</v>
      </c>
      <c r="M114" s="536">
        <f t="shared" si="63"/>
        <v>50</v>
      </c>
      <c r="N114" s="536">
        <f t="shared" si="63"/>
        <v>50</v>
      </c>
      <c r="O114" s="536">
        <f t="shared" si="63"/>
        <v>50</v>
      </c>
      <c r="P114" s="536">
        <f t="shared" si="63"/>
        <v>50</v>
      </c>
      <c r="Q114" s="536">
        <f t="shared" si="63"/>
        <v>50</v>
      </c>
      <c r="R114" s="536">
        <f t="shared" si="63"/>
        <v>50</v>
      </c>
      <c r="S114" s="536">
        <f t="shared" si="63"/>
        <v>50</v>
      </c>
      <c r="T114" s="537"/>
      <c r="U114" s="537"/>
      <c r="V114" s="537"/>
      <c r="W114" s="537"/>
    </row>
    <row r="115" spans="1:23" s="509" customFormat="1" ht="15.75">
      <c r="A115" s="1171"/>
      <c r="B115" s="561" t="str">
        <f>'Processing Assumptions'!B89</f>
        <v>Electricity- Running Cost</v>
      </c>
      <c r="C115" s="505" t="str">
        <f>'Processing Assumptions'!C89</f>
        <v>Variable Cost</v>
      </c>
      <c r="D115" s="506" t="str">
        <f>'Processing Assumptions'!D89</f>
        <v>Unit</v>
      </c>
      <c r="E115" s="566">
        <f>'Processing Assumptions'!E89</f>
        <v>9</v>
      </c>
      <c r="F115" s="511">
        <f>'Processing Assumptions'!F89</f>
        <v>30</v>
      </c>
      <c r="G115" s="535">
        <f>E115*F115*180</f>
        <v>48600</v>
      </c>
      <c r="H115" s="536"/>
      <c r="I115" s="536"/>
      <c r="J115" s="536">
        <f>$G$115/6</f>
        <v>8100</v>
      </c>
      <c r="K115" s="536">
        <f t="shared" ref="K115:O115" si="64">$G$115/6</f>
        <v>8100</v>
      </c>
      <c r="L115" s="536">
        <f t="shared" si="64"/>
        <v>8100</v>
      </c>
      <c r="M115" s="536">
        <f t="shared" si="64"/>
        <v>8100</v>
      </c>
      <c r="N115" s="536">
        <f t="shared" si="64"/>
        <v>8100</v>
      </c>
      <c r="O115" s="536">
        <f t="shared" si="64"/>
        <v>8100</v>
      </c>
      <c r="P115" s="536"/>
      <c r="Q115" s="536"/>
      <c r="R115" s="536"/>
      <c r="S115" s="536"/>
      <c r="T115" s="537"/>
      <c r="U115" s="537"/>
      <c r="V115" s="537"/>
      <c r="W115" s="537"/>
    </row>
    <row r="116" spans="1:23" s="509" customFormat="1" ht="15.75">
      <c r="A116" s="1171"/>
      <c r="B116" s="561" t="str">
        <f>'Processing Assumptions'!B90</f>
        <v xml:space="preserve">Rent Space </v>
      </c>
      <c r="C116" s="505" t="str">
        <f>'Processing Assumptions'!C90</f>
        <v>Fix Cost</v>
      </c>
      <c r="D116" s="506" t="str">
        <f>'Processing Assumptions'!D90</f>
        <v>Month</v>
      </c>
      <c r="E116" s="566">
        <f>'Processing Assumptions'!E90</f>
        <v>2500</v>
      </c>
      <c r="F116" s="511">
        <f>'Processing Assumptions'!F90</f>
        <v>12</v>
      </c>
      <c r="G116" s="535">
        <f t="shared" si="49"/>
        <v>30000</v>
      </c>
      <c r="H116" s="536">
        <f>$G$116/12</f>
        <v>2500</v>
      </c>
      <c r="I116" s="536">
        <f t="shared" ref="I116:S116" si="65">$G$116/12</f>
        <v>2500</v>
      </c>
      <c r="J116" s="536">
        <f t="shared" si="65"/>
        <v>2500</v>
      </c>
      <c r="K116" s="536">
        <f t="shared" si="65"/>
        <v>2500</v>
      </c>
      <c r="L116" s="536">
        <f t="shared" si="65"/>
        <v>2500</v>
      </c>
      <c r="M116" s="536">
        <f t="shared" si="65"/>
        <v>2500</v>
      </c>
      <c r="N116" s="536">
        <f t="shared" si="65"/>
        <v>2500</v>
      </c>
      <c r="O116" s="536">
        <f t="shared" si="65"/>
        <v>2500</v>
      </c>
      <c r="P116" s="536">
        <f t="shared" si="65"/>
        <v>2500</v>
      </c>
      <c r="Q116" s="536">
        <f t="shared" si="65"/>
        <v>2500</v>
      </c>
      <c r="R116" s="536">
        <f t="shared" si="65"/>
        <v>2500</v>
      </c>
      <c r="S116" s="536">
        <f t="shared" si="65"/>
        <v>2500</v>
      </c>
      <c r="T116" s="537"/>
      <c r="U116" s="537"/>
      <c r="V116" s="537"/>
      <c r="W116" s="537"/>
    </row>
    <row r="117" spans="1:23" s="509" customFormat="1" ht="15.75">
      <c r="A117" s="1171"/>
      <c r="B117" s="561" t="str">
        <f>'Processing Assumptions'!B91</f>
        <v>Packaging Materials-60 kg  Bag</v>
      </c>
      <c r="C117" s="505" t="str">
        <f>'Processing Assumptions'!C91</f>
        <v>Variable Cost</v>
      </c>
      <c r="D117" s="506" t="str">
        <f>'Processing Assumptions'!D91</f>
        <v>Pcs</v>
      </c>
      <c r="E117" s="566">
        <f>'Processing Assumptions'!E91</f>
        <v>20</v>
      </c>
      <c r="F117" s="510">
        <f>F99/60</f>
        <v>1916.6666666666667</v>
      </c>
      <c r="G117" s="535">
        <f t="shared" si="49"/>
        <v>38333.333333333336</v>
      </c>
      <c r="H117" s="536">
        <f t="shared" ref="H117:S117" si="66">(C$74/60)*$E$117</f>
        <v>0</v>
      </c>
      <c r="I117" s="536">
        <f t="shared" si="66"/>
        <v>0</v>
      </c>
      <c r="J117" s="536">
        <f t="shared" si="66"/>
        <v>11900</v>
      </c>
      <c r="K117" s="536">
        <f t="shared" si="66"/>
        <v>2862.6666666666665</v>
      </c>
      <c r="L117" s="536">
        <f t="shared" si="66"/>
        <v>10864</v>
      </c>
      <c r="M117" s="536">
        <f t="shared" si="66"/>
        <v>7562.6666666666661</v>
      </c>
      <c r="N117" s="536">
        <f t="shared" si="66"/>
        <v>3104</v>
      </c>
      <c r="O117" s="536">
        <f t="shared" si="66"/>
        <v>2040</v>
      </c>
      <c r="P117" s="536">
        <f t="shared" si="66"/>
        <v>0</v>
      </c>
      <c r="Q117" s="536">
        <f t="shared" si="66"/>
        <v>0</v>
      </c>
      <c r="R117" s="536">
        <f t="shared" si="66"/>
        <v>0</v>
      </c>
      <c r="S117" s="536">
        <f t="shared" si="66"/>
        <v>0</v>
      </c>
      <c r="T117" s="537"/>
      <c r="U117" s="537"/>
      <c r="V117" s="537"/>
      <c r="W117" s="537"/>
    </row>
    <row r="118" spans="1:23" s="509" customFormat="1" ht="15.75">
      <c r="A118" s="1172"/>
      <c r="B118" s="561" t="str">
        <f>'Processing Assumptions'!B92</f>
        <v>Helper for packaging</v>
      </c>
      <c r="C118" s="505" t="str">
        <f>'Processing Assumptions'!C92</f>
        <v>Variable Cost</v>
      </c>
      <c r="D118" s="506" t="str">
        <f>'Processing Assumptions'!D92</f>
        <v>Person days</v>
      </c>
      <c r="E118" s="566">
        <f>'Processing Assumptions'!E92</f>
        <v>200</v>
      </c>
      <c r="F118" s="508">
        <f>'Processing Assumptions'!F92</f>
        <v>180</v>
      </c>
      <c r="G118" s="535">
        <f t="shared" si="49"/>
        <v>36000</v>
      </c>
      <c r="H118" s="536"/>
      <c r="I118" s="536"/>
      <c r="J118" s="536">
        <f>$G$118/6</f>
        <v>6000</v>
      </c>
      <c r="K118" s="536">
        <f t="shared" ref="K118:O118" si="67">$G$118/6</f>
        <v>6000</v>
      </c>
      <c r="L118" s="536">
        <f t="shared" si="67"/>
        <v>6000</v>
      </c>
      <c r="M118" s="536">
        <f t="shared" si="67"/>
        <v>6000</v>
      </c>
      <c r="N118" s="536">
        <f t="shared" si="67"/>
        <v>6000</v>
      </c>
      <c r="O118" s="536">
        <f t="shared" si="67"/>
        <v>6000</v>
      </c>
      <c r="P118" s="536"/>
      <c r="Q118" s="536"/>
      <c r="R118" s="536"/>
      <c r="S118" s="536"/>
      <c r="T118" s="537"/>
      <c r="U118" s="537"/>
      <c r="V118" s="537"/>
      <c r="W118" s="537"/>
    </row>
    <row r="119" spans="1:23" s="509" customFormat="1" ht="15.75">
      <c r="A119" s="1167" t="s">
        <v>402</v>
      </c>
      <c r="B119" s="561" t="str">
        <f>'Processing Assumptions'!B93</f>
        <v>Transportation - Hired Vehicle</v>
      </c>
      <c r="C119" s="505" t="str">
        <f>'Processing Assumptions'!C93</f>
        <v>Variable Cost</v>
      </c>
      <c r="D119" s="506" t="str">
        <f>'Processing Assumptions'!D93</f>
        <v>Trips</v>
      </c>
      <c r="E119" s="566">
        <f>'Processing Assumptions'!E93</f>
        <v>13000</v>
      </c>
      <c r="F119" s="508">
        <f>F99/5000</f>
        <v>23</v>
      </c>
      <c r="G119" s="535">
        <f t="shared" si="49"/>
        <v>299000</v>
      </c>
      <c r="H119" s="536"/>
      <c r="I119" s="536"/>
      <c r="J119" s="536">
        <f>$G$119/6</f>
        <v>49833.333333333336</v>
      </c>
      <c r="K119" s="536">
        <f t="shared" ref="K119:O119" si="68">$G$119/6</f>
        <v>49833.333333333336</v>
      </c>
      <c r="L119" s="536">
        <f t="shared" si="68"/>
        <v>49833.333333333336</v>
      </c>
      <c r="M119" s="536">
        <f t="shared" si="68"/>
        <v>49833.333333333336</v>
      </c>
      <c r="N119" s="536">
        <f t="shared" si="68"/>
        <v>49833.333333333336</v>
      </c>
      <c r="O119" s="536">
        <f t="shared" si="68"/>
        <v>49833.333333333336</v>
      </c>
      <c r="P119" s="536"/>
      <c r="Q119" s="536"/>
      <c r="R119" s="536"/>
      <c r="S119" s="536"/>
      <c r="T119" s="537"/>
      <c r="U119" s="537"/>
      <c r="V119" s="537"/>
      <c r="W119" s="537"/>
    </row>
    <row r="120" spans="1:23" s="509" customFormat="1" ht="15.75">
      <c r="A120" s="1168"/>
      <c r="B120" s="561" t="str">
        <f>'Processing Assumptions'!B94</f>
        <v xml:space="preserve">Labour-Loading </v>
      </c>
      <c r="C120" s="505" t="str">
        <f>'Processing Assumptions'!C94</f>
        <v>Variable Cost</v>
      </c>
      <c r="D120" s="506" t="str">
        <f>'Processing Assumptions'!D94</f>
        <v>bag</v>
      </c>
      <c r="E120" s="566">
        <f>'Processing Assumptions'!E94</f>
        <v>3</v>
      </c>
      <c r="F120" s="507">
        <f>F99/60</f>
        <v>1916.6666666666667</v>
      </c>
      <c r="G120" s="535">
        <f t="shared" si="49"/>
        <v>5750</v>
      </c>
      <c r="H120" s="536">
        <f t="shared" ref="H120:S120" si="69">(C$74/60)*$E$120</f>
        <v>0</v>
      </c>
      <c r="I120" s="536">
        <f t="shared" si="69"/>
        <v>0</v>
      </c>
      <c r="J120" s="536">
        <f t="shared" si="69"/>
        <v>1785</v>
      </c>
      <c r="K120" s="536">
        <f t="shared" si="69"/>
        <v>429.4</v>
      </c>
      <c r="L120" s="536">
        <f t="shared" si="69"/>
        <v>1629.6000000000001</v>
      </c>
      <c r="M120" s="536">
        <f t="shared" si="69"/>
        <v>1134.4000000000001</v>
      </c>
      <c r="N120" s="536">
        <f t="shared" si="69"/>
        <v>465.59999999999997</v>
      </c>
      <c r="O120" s="536">
        <f t="shared" si="69"/>
        <v>306</v>
      </c>
      <c r="P120" s="536">
        <f t="shared" si="69"/>
        <v>0</v>
      </c>
      <c r="Q120" s="536">
        <f t="shared" si="69"/>
        <v>0</v>
      </c>
      <c r="R120" s="536">
        <f t="shared" si="69"/>
        <v>0</v>
      </c>
      <c r="S120" s="536">
        <f t="shared" si="69"/>
        <v>0</v>
      </c>
      <c r="T120" s="537"/>
      <c r="U120" s="537"/>
      <c r="V120" s="537"/>
      <c r="W120" s="537"/>
    </row>
    <row r="121" spans="1:23" s="509" customFormat="1" ht="15.75">
      <c r="A121" s="1169"/>
      <c r="B121" s="561" t="str">
        <f>'Processing Assumptions'!B95</f>
        <v>Marketing Supervisor</v>
      </c>
      <c r="C121" s="505" t="str">
        <f>'Processing Assumptions'!C95</f>
        <v>Fix Cost</v>
      </c>
      <c r="D121" s="506" t="str">
        <f>'Processing Assumptions'!D95</f>
        <v>Person</v>
      </c>
      <c r="E121" s="566">
        <f>'Processing Assumptions'!E95</f>
        <v>189000</v>
      </c>
      <c r="F121" s="511">
        <f>'Processing Assumptions'!F95</f>
        <v>1</v>
      </c>
      <c r="G121" s="535">
        <f t="shared" si="49"/>
        <v>189000</v>
      </c>
      <c r="H121" s="536">
        <f>$G$121/12</f>
        <v>15750</v>
      </c>
      <c r="I121" s="536">
        <f t="shared" ref="I121:S121" si="70">$G$121/12</f>
        <v>15750</v>
      </c>
      <c r="J121" s="536">
        <f t="shared" si="70"/>
        <v>15750</v>
      </c>
      <c r="K121" s="536">
        <f t="shared" si="70"/>
        <v>15750</v>
      </c>
      <c r="L121" s="536">
        <f t="shared" si="70"/>
        <v>15750</v>
      </c>
      <c r="M121" s="536">
        <f t="shared" si="70"/>
        <v>15750</v>
      </c>
      <c r="N121" s="536">
        <f t="shared" si="70"/>
        <v>15750</v>
      </c>
      <c r="O121" s="536">
        <f t="shared" si="70"/>
        <v>15750</v>
      </c>
      <c r="P121" s="536">
        <f t="shared" si="70"/>
        <v>15750</v>
      </c>
      <c r="Q121" s="536">
        <f t="shared" si="70"/>
        <v>15750</v>
      </c>
      <c r="R121" s="536">
        <f t="shared" si="70"/>
        <v>15750</v>
      </c>
      <c r="S121" s="536">
        <f t="shared" si="70"/>
        <v>15750</v>
      </c>
      <c r="T121" s="537"/>
      <c r="U121" s="537"/>
      <c r="V121" s="537"/>
      <c r="W121" s="537"/>
    </row>
    <row r="122" spans="1:23" s="509" customFormat="1" ht="15.75">
      <c r="A122" s="1173" t="s">
        <v>407</v>
      </c>
      <c r="B122" s="561" t="str">
        <f>'Processing Assumptions'!B96</f>
        <v>FSSAI renewal</v>
      </c>
      <c r="C122" s="505" t="str">
        <f>'Processing Assumptions'!C96</f>
        <v>Fix Cost</v>
      </c>
      <c r="D122" s="506" t="str">
        <f>'Processing Assumptions'!D96</f>
        <v>Annual</v>
      </c>
      <c r="E122" s="566">
        <f>'Processing Assumptions'!E96</f>
        <v>10000</v>
      </c>
      <c r="F122" s="511">
        <f>'Processing Assumptions'!F96</f>
        <v>1</v>
      </c>
      <c r="G122" s="535">
        <f t="shared" si="49"/>
        <v>10000</v>
      </c>
      <c r="H122" s="536">
        <f>G122</f>
        <v>10000</v>
      </c>
      <c r="I122" s="536"/>
      <c r="J122" s="536"/>
      <c r="K122" s="536"/>
      <c r="L122" s="536"/>
      <c r="M122" s="536"/>
      <c r="N122" s="536"/>
      <c r="O122" s="536"/>
      <c r="P122" s="536"/>
      <c r="Q122" s="536"/>
      <c r="R122" s="536"/>
      <c r="S122" s="536"/>
      <c r="T122" s="537"/>
      <c r="U122" s="537"/>
      <c r="V122" s="537"/>
      <c r="W122" s="537"/>
    </row>
    <row r="123" spans="1:23" s="509" customFormat="1" ht="16.5" thickBot="1">
      <c r="A123" s="1174"/>
      <c r="B123" s="561" t="str">
        <f>'Processing Assumptions'!B97</f>
        <v>ISSO , weighing, security etc.</v>
      </c>
      <c r="C123" s="505" t="str">
        <f>'Processing Assumptions'!C97</f>
        <v>Fix Cost</v>
      </c>
      <c r="D123" s="506" t="str">
        <f>'Processing Assumptions'!D97</f>
        <v>Lumpsum</v>
      </c>
      <c r="E123" s="566">
        <f>'Processing Assumptions'!E97</f>
        <v>8000</v>
      </c>
      <c r="F123" s="511">
        <f>'Processing Assumptions'!F97</f>
        <v>1</v>
      </c>
      <c r="G123" s="567">
        <f t="shared" si="49"/>
        <v>8000</v>
      </c>
      <c r="H123" s="559">
        <f>G123</f>
        <v>8000</v>
      </c>
      <c r="I123" s="559"/>
      <c r="J123" s="559"/>
      <c r="K123" s="559"/>
      <c r="L123" s="559"/>
      <c r="M123" s="559"/>
      <c r="N123" s="559"/>
      <c r="O123" s="559"/>
      <c r="P123" s="559"/>
      <c r="Q123" s="559"/>
      <c r="R123" s="559"/>
      <c r="S123" s="559"/>
      <c r="T123" s="537"/>
      <c r="U123" s="537"/>
      <c r="V123" s="537"/>
      <c r="W123" s="537"/>
    </row>
    <row r="124" spans="1:23" ht="13.5" thickBot="1">
      <c r="A124" s="1136" t="s">
        <v>429</v>
      </c>
      <c r="B124" s="1138"/>
      <c r="C124" s="1138"/>
      <c r="D124" s="1154"/>
      <c r="E124" s="541"/>
      <c r="F124" s="541"/>
      <c r="G124" s="541"/>
      <c r="H124" s="560">
        <f>SUM(H100:H123)</f>
        <v>65850</v>
      </c>
      <c r="I124" s="560">
        <f t="shared" ref="I124:S124" si="71">SUM(I100:I123)</f>
        <v>47850</v>
      </c>
      <c r="J124" s="560">
        <f t="shared" si="71"/>
        <v>349068.33333333331</v>
      </c>
      <c r="K124" s="560">
        <f t="shared" si="71"/>
        <v>233080.73333333331</v>
      </c>
      <c r="L124" s="560">
        <f t="shared" si="71"/>
        <v>417960.93333333329</v>
      </c>
      <c r="M124" s="560">
        <f t="shared" si="71"/>
        <v>384853.73333333334</v>
      </c>
      <c r="N124" s="560">
        <f t="shared" si="71"/>
        <v>248592.93333333335</v>
      </c>
      <c r="O124" s="560">
        <f t="shared" si="71"/>
        <v>228453.33333333334</v>
      </c>
      <c r="P124" s="560">
        <f t="shared" si="71"/>
        <v>47850</v>
      </c>
      <c r="Q124" s="560">
        <f t="shared" si="71"/>
        <v>47850</v>
      </c>
      <c r="R124" s="560">
        <f t="shared" si="71"/>
        <v>47850</v>
      </c>
      <c r="S124" s="560">
        <f t="shared" si="71"/>
        <v>47850</v>
      </c>
    </row>
    <row r="125" spans="1:23">
      <c r="N125" s="34"/>
    </row>
    <row r="126" spans="1:23">
      <c r="N126" s="34"/>
    </row>
    <row r="127" spans="1:23" ht="13.5" thickBot="1"/>
    <row r="128" spans="1:23" ht="15.75" thickBot="1">
      <c r="B128" s="1155" t="s">
        <v>419</v>
      </c>
      <c r="C128" s="1156"/>
      <c r="D128" s="1156"/>
      <c r="E128" s="1157"/>
    </row>
    <row r="129" spans="2:8" ht="15">
      <c r="B129" s="551" t="s">
        <v>420</v>
      </c>
      <c r="C129" s="568">
        <f>SUMIF(C99:C123,"Fix Cost",G99:G123)</f>
        <v>520200</v>
      </c>
      <c r="D129" s="552">
        <f>IFERROR(C129/F99,0)</f>
        <v>4.5234782608695649</v>
      </c>
      <c r="E129" s="553" t="s">
        <v>421</v>
      </c>
    </row>
    <row r="130" spans="2:8" ht="15">
      <c r="B130" s="554" t="s">
        <v>422</v>
      </c>
      <c r="C130" s="555">
        <f>SUMIF(C99:C123,"Variable Cost",G99:G123)</f>
        <v>8012509.9999999991</v>
      </c>
      <c r="D130" s="556">
        <f>IFERROR(C130/F99,0)</f>
        <v>69.673999999999992</v>
      </c>
      <c r="E130" s="489" t="s">
        <v>423</v>
      </c>
    </row>
    <row r="131" spans="2:8" ht="15">
      <c r="B131" s="1158" t="s">
        <v>424</v>
      </c>
      <c r="C131" s="1159"/>
      <c r="D131" s="556">
        <f>SUBTOTAL(9,D129:D130)</f>
        <v>74.197478260869559</v>
      </c>
      <c r="E131" s="1160"/>
    </row>
    <row r="132" spans="2:8" ht="15">
      <c r="B132" s="1158" t="s">
        <v>428</v>
      </c>
      <c r="C132" s="1159"/>
      <c r="D132" s="557">
        <f>'Processing Assumptions'!B100</f>
        <v>90</v>
      </c>
      <c r="E132" s="1161"/>
      <c r="G132" s="523"/>
    </row>
    <row r="133" spans="2:8" ht="15">
      <c r="B133" s="1158" t="s">
        <v>425</v>
      </c>
      <c r="C133" s="1159"/>
      <c r="D133" s="556">
        <f>D132-D130</f>
        <v>20.326000000000008</v>
      </c>
      <c r="E133" s="1161"/>
      <c r="G133" s="569"/>
    </row>
    <row r="134" spans="2:8" ht="15">
      <c r="B134" s="1163" t="s">
        <v>426</v>
      </c>
      <c r="C134" s="1164"/>
      <c r="D134" s="558">
        <f>IFERROR(C129/D133,0)</f>
        <v>25592.836760798968</v>
      </c>
      <c r="E134" s="1161"/>
      <c r="H134" s="523"/>
    </row>
    <row r="135" spans="2:8" ht="15.75" thickBot="1">
      <c r="B135" s="1165" t="s">
        <v>427</v>
      </c>
      <c r="C135" s="1166"/>
      <c r="D135" s="570">
        <f>IFERROR(D134/F99,0)</f>
        <v>0.22254640661564321</v>
      </c>
      <c r="E135" s="1162"/>
    </row>
    <row r="136" spans="2:8" ht="13.5" thickBot="1">
      <c r="B136" s="571" t="s">
        <v>433</v>
      </c>
      <c r="C136" s="572"/>
      <c r="D136" s="573">
        <f>IFERROR((D132-D130)/D130,0)</f>
        <v>0.29173005712317379</v>
      </c>
      <c r="E136" s="574"/>
    </row>
  </sheetData>
  <sheetProtection algorithmName="SHA-512" hashValue="PKdfDwoc0QE7v4D4DiZwoBCEtakdMjZChMWaTidTt9W1N6gMSEVSb59b1JqfRMiiRF5qjygL1UN2+YfUYgJigA==" saltValue="n4/TNaVYzCYbpCbZ9CUmEg==" spinCount="100000" sheet="1" objects="1" scenarios="1"/>
  <mergeCells count="64">
    <mergeCell ref="A119:A121"/>
    <mergeCell ref="A114:A118"/>
    <mergeCell ref="A109:A113"/>
    <mergeCell ref="A122:A123"/>
    <mergeCell ref="B97:B98"/>
    <mergeCell ref="A105:A107"/>
    <mergeCell ref="A99:A104"/>
    <mergeCell ref="A97:A98"/>
    <mergeCell ref="A124:D124"/>
    <mergeCell ref="B128:E128"/>
    <mergeCell ref="B131:C131"/>
    <mergeCell ref="E131:E135"/>
    <mergeCell ref="B132:C132"/>
    <mergeCell ref="B133:C133"/>
    <mergeCell ref="B134:C134"/>
    <mergeCell ref="B135:C135"/>
    <mergeCell ref="A61:A64"/>
    <mergeCell ref="A76:A77"/>
    <mergeCell ref="A78:A81"/>
    <mergeCell ref="E3:H3"/>
    <mergeCell ref="A51:A54"/>
    <mergeCell ref="A41:D41"/>
    <mergeCell ref="A42:D42"/>
    <mergeCell ref="A3:A4"/>
    <mergeCell ref="B3:B4"/>
    <mergeCell ref="C3:C4"/>
    <mergeCell ref="D3:D4"/>
    <mergeCell ref="A40:B40"/>
    <mergeCell ref="A43:D43"/>
    <mergeCell ref="A44:D44"/>
    <mergeCell ref="A49:A50"/>
    <mergeCell ref="B49:B50"/>
    <mergeCell ref="C49:N49"/>
    <mergeCell ref="A45:D45"/>
    <mergeCell ref="A46:D46"/>
    <mergeCell ref="A58:A60"/>
    <mergeCell ref="B58:B60"/>
    <mergeCell ref="C58:N58"/>
    <mergeCell ref="O58:R58"/>
    <mergeCell ref="S58:S60"/>
    <mergeCell ref="C59:E59"/>
    <mergeCell ref="F59:H59"/>
    <mergeCell ref="I59:K59"/>
    <mergeCell ref="L59:N59"/>
    <mergeCell ref="O59:O60"/>
    <mergeCell ref="P59:P60"/>
    <mergeCell ref="Q59:Q60"/>
    <mergeCell ref="R59:R60"/>
    <mergeCell ref="E97:S97"/>
    <mergeCell ref="B76:B77"/>
    <mergeCell ref="C76:N76"/>
    <mergeCell ref="A68:A69"/>
    <mergeCell ref="B68:B69"/>
    <mergeCell ref="C68:N68"/>
    <mergeCell ref="A70:A73"/>
    <mergeCell ref="A82:B82"/>
    <mergeCell ref="A85:A86"/>
    <mergeCell ref="B85:B86"/>
    <mergeCell ref="C85:N85"/>
    <mergeCell ref="A87:A90"/>
    <mergeCell ref="A91:B91"/>
    <mergeCell ref="A74:B74"/>
    <mergeCell ref="D97:D98"/>
    <mergeCell ref="C97:C98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507BB-E8F7-4555-8B8F-CF5AF3076DE0}">
  <sheetPr>
    <tabColor theme="8" tint="-0.499984740745262"/>
  </sheetPr>
  <dimension ref="A1:I75"/>
  <sheetViews>
    <sheetView workbookViewId="0">
      <selection activeCell="G8" sqref="G8"/>
    </sheetView>
  </sheetViews>
  <sheetFormatPr defaultRowHeight="12.75"/>
  <cols>
    <col min="1" max="1" width="8.85546875" style="787" customWidth="1"/>
    <col min="2" max="2" width="23" style="787" customWidth="1"/>
    <col min="3" max="3" width="29.5703125" style="787" customWidth="1"/>
    <col min="4" max="4" width="16.85546875" style="787" customWidth="1"/>
    <col min="5" max="5" width="13.5703125" style="787" customWidth="1"/>
    <col min="6" max="6" width="15.5703125" style="787" customWidth="1"/>
    <col min="7" max="8" width="9.140625" style="787"/>
    <col min="9" max="9" width="18.5703125" style="787" customWidth="1"/>
    <col min="10" max="16384" width="9.140625" style="787"/>
  </cols>
  <sheetData>
    <row r="1" spans="1:9" ht="13.5" thickBot="1"/>
    <row r="2" spans="1:9">
      <c r="A2" s="1180" t="s">
        <v>111</v>
      </c>
      <c r="B2" s="1181"/>
      <c r="C2" s="1182"/>
      <c r="D2" s="788" t="s">
        <v>266</v>
      </c>
      <c r="E2" s="788" t="s">
        <v>267</v>
      </c>
      <c r="F2" s="789" t="s">
        <v>268</v>
      </c>
    </row>
    <row r="3" spans="1:9" ht="15.75">
      <c r="A3" s="1183" t="s">
        <v>331</v>
      </c>
      <c r="B3" s="1184"/>
      <c r="C3" s="1184"/>
      <c r="D3" s="790">
        <f>'Master Assumptions'!D357</f>
        <v>1000</v>
      </c>
      <c r="E3" s="790">
        <f>'Master Assumptions'!E357</f>
        <v>1200</v>
      </c>
      <c r="F3" s="454">
        <f>C74</f>
        <v>2000</v>
      </c>
    </row>
    <row r="4" spans="1:9" ht="15.75">
      <c r="A4" s="1183" t="s">
        <v>332</v>
      </c>
      <c r="B4" s="1184"/>
      <c r="C4" s="1184"/>
      <c r="D4" s="791">
        <f>'Master Assumptions'!D358</f>
        <v>0.5</v>
      </c>
      <c r="E4" s="791">
        <f>'Master Assumptions'!E358</f>
        <v>0.7</v>
      </c>
      <c r="F4" s="460">
        <f>C72/C74</f>
        <v>0.81499999999999995</v>
      </c>
    </row>
    <row r="5" spans="1:9" ht="15.75">
      <c r="A5" s="1183" t="s">
        <v>335</v>
      </c>
      <c r="B5" s="1184"/>
      <c r="C5" s="1184"/>
      <c r="D5" s="790">
        <f>'Master Assumptions'!D359</f>
        <v>1300</v>
      </c>
      <c r="E5" s="790">
        <f>'Master Assumptions'!E359</f>
        <v>1400</v>
      </c>
      <c r="F5" s="461">
        <f>C73/C72</f>
        <v>1705.0828220858896</v>
      </c>
    </row>
    <row r="6" spans="1:9" ht="16.5" thickBot="1">
      <c r="A6" s="1185" t="s">
        <v>333</v>
      </c>
      <c r="B6" s="1186"/>
      <c r="C6" s="1186"/>
      <c r="D6" s="792">
        <f>'Master Assumptions'!D360</f>
        <v>100000</v>
      </c>
      <c r="E6" s="792">
        <f>'Master Assumptions'!E360</f>
        <v>120000</v>
      </c>
      <c r="F6" s="462">
        <f>C75/C72</f>
        <v>177617.16324890396</v>
      </c>
    </row>
    <row r="8" spans="1:9" ht="13.5" thickBot="1"/>
    <row r="9" spans="1:9" ht="13.5" thickBot="1">
      <c r="A9" s="1187" t="s">
        <v>267</v>
      </c>
      <c r="B9" s="1188"/>
      <c r="C9" s="1188"/>
      <c r="D9" s="1189"/>
    </row>
    <row r="10" spans="1:9">
      <c r="A10" s="1081" t="s">
        <v>175</v>
      </c>
      <c r="B10" s="1082" t="s">
        <v>176</v>
      </c>
      <c r="C10" s="1192" t="s">
        <v>177</v>
      </c>
      <c r="D10" s="1194" t="s">
        <v>178</v>
      </c>
    </row>
    <row r="11" spans="1:9" ht="13.5" thickBot="1">
      <c r="A11" s="1190"/>
      <c r="B11" s="1191"/>
      <c r="C11" s="1193"/>
      <c r="D11" s="1195"/>
    </row>
    <row r="12" spans="1:9" ht="15.75">
      <c r="A12" s="793">
        <v>1</v>
      </c>
      <c r="B12" s="794" t="s">
        <v>182</v>
      </c>
      <c r="C12" s="794">
        <f>'Master Assumptions'!C4</f>
        <v>50</v>
      </c>
      <c r="D12" s="463">
        <v>60</v>
      </c>
      <c r="I12" s="795"/>
    </row>
    <row r="13" spans="1:9" ht="15.75">
      <c r="A13" s="712">
        <v>2</v>
      </c>
      <c r="B13" s="796" t="s">
        <v>183</v>
      </c>
      <c r="C13" s="794">
        <f>'Master Assumptions'!C5</f>
        <v>30</v>
      </c>
      <c r="D13" s="464">
        <v>40</v>
      </c>
      <c r="I13" s="797"/>
    </row>
    <row r="14" spans="1:9" ht="15.75">
      <c r="A14" s="712">
        <v>3</v>
      </c>
      <c r="B14" s="796" t="s">
        <v>184</v>
      </c>
      <c r="C14" s="794">
        <f>'Master Assumptions'!C6</f>
        <v>40</v>
      </c>
      <c r="D14" s="464">
        <v>60</v>
      </c>
      <c r="I14" s="798"/>
    </row>
    <row r="15" spans="1:9" ht="15.75">
      <c r="A15" s="712">
        <v>4</v>
      </c>
      <c r="B15" s="796" t="s">
        <v>186</v>
      </c>
      <c r="C15" s="794">
        <f>'Master Assumptions'!C7</f>
        <v>20</v>
      </c>
      <c r="D15" s="464">
        <v>20</v>
      </c>
    </row>
    <row r="16" spans="1:9" ht="15.75">
      <c r="A16" s="712">
        <v>5</v>
      </c>
      <c r="B16" s="796" t="s">
        <v>188</v>
      </c>
      <c r="C16" s="794">
        <f>'Master Assumptions'!C8</f>
        <v>40</v>
      </c>
      <c r="D16" s="464">
        <v>50</v>
      </c>
    </row>
    <row r="17" spans="1:4" ht="15.75">
      <c r="A17" s="712">
        <v>6</v>
      </c>
      <c r="B17" s="796" t="s">
        <v>189</v>
      </c>
      <c r="C17" s="794">
        <f>'Master Assumptions'!C9</f>
        <v>25</v>
      </c>
      <c r="D17" s="464">
        <v>25</v>
      </c>
    </row>
    <row r="18" spans="1:4" ht="15.75">
      <c r="A18" s="712">
        <v>7</v>
      </c>
      <c r="B18" s="796" t="s">
        <v>190</v>
      </c>
      <c r="C18" s="794">
        <f>'Master Assumptions'!C10</f>
        <v>30</v>
      </c>
      <c r="D18" s="464">
        <v>30</v>
      </c>
    </row>
    <row r="19" spans="1:4" ht="15.75">
      <c r="A19" s="712">
        <v>8</v>
      </c>
      <c r="B19" s="796" t="s">
        <v>191</v>
      </c>
      <c r="C19" s="794">
        <f>'Master Assumptions'!C11</f>
        <v>40</v>
      </c>
      <c r="D19" s="464">
        <v>40</v>
      </c>
    </row>
    <row r="20" spans="1:4" ht="15.75">
      <c r="A20" s="712">
        <v>9</v>
      </c>
      <c r="B20" s="796" t="s">
        <v>192</v>
      </c>
      <c r="C20" s="794">
        <f>'Master Assumptions'!C12</f>
        <v>30</v>
      </c>
      <c r="D20" s="464">
        <v>30</v>
      </c>
    </row>
    <row r="21" spans="1:4" ht="15.75">
      <c r="A21" s="712">
        <v>10</v>
      </c>
      <c r="B21" s="796" t="s">
        <v>193</v>
      </c>
      <c r="C21" s="794">
        <f>'Master Assumptions'!C13</f>
        <v>20</v>
      </c>
      <c r="D21" s="464">
        <v>20</v>
      </c>
    </row>
    <row r="22" spans="1:4" ht="15.75">
      <c r="A22" s="712">
        <v>11</v>
      </c>
      <c r="B22" s="796" t="s">
        <v>194</v>
      </c>
      <c r="C22" s="794">
        <f>'Master Assumptions'!C14</f>
        <v>20</v>
      </c>
      <c r="D22" s="464">
        <v>20</v>
      </c>
    </row>
    <row r="23" spans="1:4" ht="15.75">
      <c r="A23" s="712">
        <v>12</v>
      </c>
      <c r="B23" s="796" t="s">
        <v>195</v>
      </c>
      <c r="C23" s="794">
        <f>'Master Assumptions'!C15</f>
        <v>30</v>
      </c>
      <c r="D23" s="464">
        <v>40</v>
      </c>
    </row>
    <row r="24" spans="1:4" ht="15.75">
      <c r="A24" s="712">
        <v>13</v>
      </c>
      <c r="B24" s="796" t="s">
        <v>196</v>
      </c>
      <c r="C24" s="794">
        <f>'Master Assumptions'!C16</f>
        <v>30</v>
      </c>
      <c r="D24" s="464">
        <v>30</v>
      </c>
    </row>
    <row r="25" spans="1:4" ht="15.75">
      <c r="A25" s="712">
        <v>14</v>
      </c>
      <c r="B25" s="796" t="s">
        <v>197</v>
      </c>
      <c r="C25" s="794">
        <f>'Master Assumptions'!C17</f>
        <v>25</v>
      </c>
      <c r="D25" s="464">
        <v>30</v>
      </c>
    </row>
    <row r="26" spans="1:4" ht="15.75">
      <c r="A26" s="712">
        <v>15</v>
      </c>
      <c r="B26" s="796" t="s">
        <v>198</v>
      </c>
      <c r="C26" s="794">
        <f>'Master Assumptions'!C18</f>
        <v>30</v>
      </c>
      <c r="D26" s="464">
        <v>30</v>
      </c>
    </row>
    <row r="27" spans="1:4" ht="15.75">
      <c r="A27" s="712">
        <v>16</v>
      </c>
      <c r="B27" s="796" t="s">
        <v>199</v>
      </c>
      <c r="C27" s="794">
        <f>'Master Assumptions'!C19</f>
        <v>20</v>
      </c>
      <c r="D27" s="464">
        <v>25</v>
      </c>
    </row>
    <row r="28" spans="1:4" ht="15.75">
      <c r="A28" s="712">
        <v>17</v>
      </c>
      <c r="B28" s="796" t="s">
        <v>200</v>
      </c>
      <c r="C28" s="794">
        <f>'Master Assumptions'!C20</f>
        <v>30</v>
      </c>
      <c r="D28" s="464">
        <v>35</v>
      </c>
    </row>
    <row r="29" spans="1:4" ht="15.75">
      <c r="A29" s="712">
        <v>18</v>
      </c>
      <c r="B29" s="796" t="s">
        <v>201</v>
      </c>
      <c r="C29" s="794">
        <f>'Master Assumptions'!C21</f>
        <v>30</v>
      </c>
      <c r="D29" s="464">
        <v>40</v>
      </c>
    </row>
    <row r="30" spans="1:4" ht="15.75">
      <c r="A30" s="712">
        <v>19</v>
      </c>
      <c r="B30" s="796" t="s">
        <v>202</v>
      </c>
      <c r="C30" s="794">
        <f>'Master Assumptions'!C22</f>
        <v>30</v>
      </c>
      <c r="D30" s="464">
        <v>40</v>
      </c>
    </row>
    <row r="31" spans="1:4" ht="15.75">
      <c r="A31" s="712">
        <v>20</v>
      </c>
      <c r="B31" s="796" t="s">
        <v>203</v>
      </c>
      <c r="C31" s="794">
        <f>'Master Assumptions'!C23</f>
        <v>30</v>
      </c>
      <c r="D31" s="464">
        <v>40</v>
      </c>
    </row>
    <row r="32" spans="1:4" ht="15.75">
      <c r="A32" s="712">
        <v>21</v>
      </c>
      <c r="B32" s="796" t="s">
        <v>204</v>
      </c>
      <c r="C32" s="794">
        <f>'Master Assumptions'!C24</f>
        <v>30</v>
      </c>
      <c r="D32" s="464">
        <v>40</v>
      </c>
    </row>
    <row r="33" spans="1:4" ht="15.75">
      <c r="A33" s="712">
        <v>22</v>
      </c>
      <c r="B33" s="796" t="s">
        <v>205</v>
      </c>
      <c r="C33" s="794">
        <f>'Master Assumptions'!C25</f>
        <v>25</v>
      </c>
      <c r="D33" s="464">
        <v>40</v>
      </c>
    </row>
    <row r="34" spans="1:4" ht="15.75">
      <c r="A34" s="712">
        <v>23</v>
      </c>
      <c r="B34" s="796" t="s">
        <v>206</v>
      </c>
      <c r="C34" s="794">
        <f>'Master Assumptions'!C26</f>
        <v>20</v>
      </c>
      <c r="D34" s="464">
        <v>20</v>
      </c>
    </row>
    <row r="35" spans="1:4" ht="15.75">
      <c r="A35" s="712">
        <v>24</v>
      </c>
      <c r="B35" s="796" t="s">
        <v>207</v>
      </c>
      <c r="C35" s="794">
        <f>'Master Assumptions'!C27</f>
        <v>20</v>
      </c>
      <c r="D35" s="464">
        <v>25</v>
      </c>
    </row>
    <row r="36" spans="1:4" ht="15.75">
      <c r="A36" s="712">
        <v>25</v>
      </c>
      <c r="B36" s="796" t="s">
        <v>208</v>
      </c>
      <c r="C36" s="794">
        <f>'Master Assumptions'!C28</f>
        <v>20</v>
      </c>
      <c r="D36" s="464">
        <v>25</v>
      </c>
    </row>
    <row r="37" spans="1:4" ht="15.75">
      <c r="A37" s="712">
        <v>26</v>
      </c>
      <c r="B37" s="796" t="s">
        <v>209</v>
      </c>
      <c r="C37" s="794">
        <f>'Master Assumptions'!C29</f>
        <v>20</v>
      </c>
      <c r="D37" s="464">
        <v>25</v>
      </c>
    </row>
    <row r="38" spans="1:4" ht="15.75">
      <c r="A38" s="712">
        <v>27</v>
      </c>
      <c r="B38" s="796" t="s">
        <v>210</v>
      </c>
      <c r="C38" s="794">
        <f>'Master Assumptions'!C30</f>
        <v>40</v>
      </c>
      <c r="D38" s="464">
        <v>60</v>
      </c>
    </row>
    <row r="39" spans="1:4" ht="15.75">
      <c r="A39" s="712">
        <v>28</v>
      </c>
      <c r="B39" s="796" t="s">
        <v>211</v>
      </c>
      <c r="C39" s="794">
        <f>'Master Assumptions'!C31</f>
        <v>40</v>
      </c>
      <c r="D39" s="464">
        <v>60</v>
      </c>
    </row>
    <row r="40" spans="1:4" ht="15.75">
      <c r="A40" s="712">
        <v>29</v>
      </c>
      <c r="B40" s="796" t="s">
        <v>212</v>
      </c>
      <c r="C40" s="794">
        <f>'Master Assumptions'!C32</f>
        <v>20</v>
      </c>
      <c r="D40" s="464">
        <v>20</v>
      </c>
    </row>
    <row r="41" spans="1:4" ht="15.75">
      <c r="A41" s="712">
        <v>30</v>
      </c>
      <c r="B41" s="796" t="s">
        <v>213</v>
      </c>
      <c r="C41" s="794">
        <f>'Master Assumptions'!C33</f>
        <v>20</v>
      </c>
      <c r="D41" s="464">
        <v>20</v>
      </c>
    </row>
    <row r="42" spans="1:4" ht="15.75">
      <c r="A42" s="712">
        <v>31</v>
      </c>
      <c r="B42" s="796" t="s">
        <v>214</v>
      </c>
      <c r="C42" s="794">
        <f>'Master Assumptions'!C34</f>
        <v>30</v>
      </c>
      <c r="D42" s="464">
        <v>30</v>
      </c>
    </row>
    <row r="43" spans="1:4" ht="15.75">
      <c r="A43" s="712">
        <v>32</v>
      </c>
      <c r="B43" s="796" t="s">
        <v>215</v>
      </c>
      <c r="C43" s="794">
        <f>'Master Assumptions'!C35</f>
        <v>20</v>
      </c>
      <c r="D43" s="464">
        <v>20</v>
      </c>
    </row>
    <row r="44" spans="1:4" ht="15.75">
      <c r="A44" s="712">
        <v>33</v>
      </c>
      <c r="B44" s="796" t="s">
        <v>216</v>
      </c>
      <c r="C44" s="794">
        <f>'Master Assumptions'!C36</f>
        <v>20</v>
      </c>
      <c r="D44" s="464">
        <v>20</v>
      </c>
    </row>
    <row r="45" spans="1:4" ht="15.75">
      <c r="A45" s="712">
        <v>34</v>
      </c>
      <c r="B45" s="796" t="s">
        <v>217</v>
      </c>
      <c r="C45" s="794">
        <f>'Master Assumptions'!C37</f>
        <v>20</v>
      </c>
      <c r="D45" s="464">
        <v>20</v>
      </c>
    </row>
    <row r="46" spans="1:4" ht="15.75">
      <c r="A46" s="712">
        <v>35</v>
      </c>
      <c r="B46" s="796" t="s">
        <v>218</v>
      </c>
      <c r="C46" s="794">
        <f>'Master Assumptions'!C38</f>
        <v>30</v>
      </c>
      <c r="D46" s="464">
        <v>30</v>
      </c>
    </row>
    <row r="47" spans="1:4" ht="15.75">
      <c r="A47" s="712">
        <v>36</v>
      </c>
      <c r="B47" s="796" t="s">
        <v>219</v>
      </c>
      <c r="C47" s="794">
        <f>'Master Assumptions'!C39</f>
        <v>20</v>
      </c>
      <c r="D47" s="464">
        <v>25</v>
      </c>
    </row>
    <row r="48" spans="1:4" ht="15.75">
      <c r="A48" s="712">
        <v>37</v>
      </c>
      <c r="B48" s="796" t="s">
        <v>220</v>
      </c>
      <c r="C48" s="794">
        <f>'Master Assumptions'!C40</f>
        <v>30</v>
      </c>
      <c r="D48" s="464">
        <v>35</v>
      </c>
    </row>
    <row r="49" spans="1:4" ht="15.75">
      <c r="A49" s="712">
        <v>38</v>
      </c>
      <c r="B49" s="796" t="s">
        <v>221</v>
      </c>
      <c r="C49" s="794">
        <f>'Master Assumptions'!C41</f>
        <v>20</v>
      </c>
      <c r="D49" s="464">
        <v>20</v>
      </c>
    </row>
    <row r="50" spans="1:4" ht="15.75">
      <c r="A50" s="712">
        <v>39</v>
      </c>
      <c r="B50" s="796" t="s">
        <v>222</v>
      </c>
      <c r="C50" s="794">
        <f>'Master Assumptions'!C42</f>
        <v>20</v>
      </c>
      <c r="D50" s="464">
        <v>25</v>
      </c>
    </row>
    <row r="51" spans="1:4" ht="15.75">
      <c r="A51" s="712">
        <v>40</v>
      </c>
      <c r="B51" s="796" t="s">
        <v>223</v>
      </c>
      <c r="C51" s="794">
        <f>'Master Assumptions'!C43</f>
        <v>25</v>
      </c>
      <c r="D51" s="464">
        <v>40</v>
      </c>
    </row>
    <row r="52" spans="1:4" ht="15.75">
      <c r="A52" s="712">
        <v>41</v>
      </c>
      <c r="B52" s="796" t="s">
        <v>224</v>
      </c>
      <c r="C52" s="794">
        <f>'Master Assumptions'!C44</f>
        <v>30</v>
      </c>
      <c r="D52" s="464">
        <v>50</v>
      </c>
    </row>
    <row r="53" spans="1:4" ht="15.75">
      <c r="A53" s="712">
        <v>42</v>
      </c>
      <c r="B53" s="796" t="s">
        <v>225</v>
      </c>
      <c r="C53" s="794">
        <f>'Master Assumptions'!C45</f>
        <v>20</v>
      </c>
      <c r="D53" s="464">
        <v>40</v>
      </c>
    </row>
    <row r="54" spans="1:4" ht="15.75">
      <c r="A54" s="712">
        <v>43</v>
      </c>
      <c r="B54" s="796" t="s">
        <v>226</v>
      </c>
      <c r="C54" s="794">
        <f>'Master Assumptions'!C46</f>
        <v>30</v>
      </c>
      <c r="D54" s="464">
        <v>40</v>
      </c>
    </row>
    <row r="55" spans="1:4" ht="15.75">
      <c r="A55" s="712">
        <v>44</v>
      </c>
      <c r="B55" s="796" t="s">
        <v>227</v>
      </c>
      <c r="C55" s="794">
        <f>'Master Assumptions'!C47</f>
        <v>25</v>
      </c>
      <c r="D55" s="464">
        <v>35</v>
      </c>
    </row>
    <row r="56" spans="1:4" ht="15.75">
      <c r="A56" s="712">
        <v>45</v>
      </c>
      <c r="B56" s="796" t="s">
        <v>187</v>
      </c>
      <c r="C56" s="794">
        <f>'Master Assumptions'!C48</f>
        <v>30</v>
      </c>
      <c r="D56" s="464">
        <v>40</v>
      </c>
    </row>
    <row r="57" spans="1:4" ht="15.75">
      <c r="A57" s="712">
        <v>46</v>
      </c>
      <c r="B57" s="796" t="s">
        <v>228</v>
      </c>
      <c r="C57" s="794">
        <f>'Master Assumptions'!C49</f>
        <v>30</v>
      </c>
      <c r="D57" s="464">
        <v>40</v>
      </c>
    </row>
    <row r="58" spans="1:4" ht="15.75">
      <c r="A58" s="712">
        <v>47</v>
      </c>
      <c r="B58" s="796" t="s">
        <v>185</v>
      </c>
      <c r="C58" s="794">
        <f>'Master Assumptions'!C50</f>
        <v>40</v>
      </c>
      <c r="D58" s="464">
        <v>50</v>
      </c>
    </row>
    <row r="59" spans="1:4" ht="15.75">
      <c r="A59" s="712">
        <v>48</v>
      </c>
      <c r="B59" s="796" t="s">
        <v>229</v>
      </c>
      <c r="C59" s="794">
        <f>'Master Assumptions'!C51</f>
        <v>30</v>
      </c>
      <c r="D59" s="464">
        <v>40</v>
      </c>
    </row>
    <row r="60" spans="1:4" ht="15.75">
      <c r="A60" s="712">
        <v>49</v>
      </c>
      <c r="B60" s="796" t="s">
        <v>230</v>
      </c>
      <c r="C60" s="794">
        <f>'Master Assumptions'!C52</f>
        <v>40</v>
      </c>
      <c r="D60" s="464">
        <v>40</v>
      </c>
    </row>
    <row r="61" spans="1:4" ht="15.75">
      <c r="A61" s="712">
        <v>50</v>
      </c>
      <c r="B61" s="796" t="s">
        <v>231</v>
      </c>
      <c r="C61" s="794">
        <f>'Master Assumptions'!C53</f>
        <v>30</v>
      </c>
      <c r="D61" s="464">
        <v>30</v>
      </c>
    </row>
    <row r="62" spans="1:4" ht="15.75">
      <c r="A62" s="712">
        <v>51</v>
      </c>
      <c r="B62" s="796" t="s">
        <v>232</v>
      </c>
      <c r="C62" s="794">
        <f>'Master Assumptions'!C54</f>
        <v>15</v>
      </c>
      <c r="D62" s="464">
        <v>15</v>
      </c>
    </row>
    <row r="63" spans="1:4" ht="15.75">
      <c r="A63" s="712">
        <v>52</v>
      </c>
      <c r="B63" s="796" t="s">
        <v>233</v>
      </c>
      <c r="C63" s="794">
        <f>'Master Assumptions'!C55</f>
        <v>20</v>
      </c>
      <c r="D63" s="464">
        <v>20</v>
      </c>
    </row>
    <row r="64" spans="1:4" ht="15.75">
      <c r="A64" s="712">
        <v>53</v>
      </c>
      <c r="B64" s="796" t="s">
        <v>234</v>
      </c>
      <c r="C64" s="794">
        <f>'Master Assumptions'!C56</f>
        <v>30</v>
      </c>
      <c r="D64" s="464">
        <v>30</v>
      </c>
    </row>
    <row r="65" spans="1:4" ht="15.75">
      <c r="A65" s="712">
        <v>54</v>
      </c>
      <c r="B65" s="796" t="s">
        <v>235</v>
      </c>
      <c r="C65" s="794">
        <f>'Master Assumptions'!C57</f>
        <v>25</v>
      </c>
      <c r="D65" s="464">
        <v>30</v>
      </c>
    </row>
    <row r="66" spans="1:4" ht="15.75">
      <c r="A66" s="712">
        <v>55</v>
      </c>
      <c r="B66" s="796" t="s">
        <v>236</v>
      </c>
      <c r="C66" s="794">
        <f>'Master Assumptions'!C58</f>
        <v>25</v>
      </c>
      <c r="D66" s="464">
        <v>30</v>
      </c>
    </row>
    <row r="67" spans="1:4" ht="15.75">
      <c r="A67" s="712">
        <v>56</v>
      </c>
      <c r="B67" s="796" t="s">
        <v>237</v>
      </c>
      <c r="C67" s="794">
        <f>'Master Assumptions'!C59</f>
        <v>20</v>
      </c>
      <c r="D67" s="464">
        <v>20</v>
      </c>
    </row>
    <row r="68" spans="1:4" ht="15.75">
      <c r="A68" s="712">
        <v>57</v>
      </c>
      <c r="B68" s="796" t="s">
        <v>238</v>
      </c>
      <c r="C68" s="794">
        <f>'Master Assumptions'!C60</f>
        <v>40</v>
      </c>
      <c r="D68" s="464">
        <v>40</v>
      </c>
    </row>
    <row r="69" spans="1:4" ht="15.75">
      <c r="A69" s="712">
        <v>58</v>
      </c>
      <c r="B69" s="796" t="s">
        <v>239</v>
      </c>
      <c r="C69" s="794">
        <f>'Master Assumptions'!C61</f>
        <v>20</v>
      </c>
      <c r="D69" s="464">
        <v>20</v>
      </c>
    </row>
    <row r="70" spans="1:4" ht="15.75">
      <c r="A70" s="712">
        <v>59</v>
      </c>
      <c r="B70" s="796" t="s">
        <v>240</v>
      </c>
      <c r="C70" s="794">
        <f>'Master Assumptions'!C62</f>
        <v>15</v>
      </c>
      <c r="D70" s="464">
        <v>15</v>
      </c>
    </row>
    <row r="71" spans="1:4" ht="16.5" thickBot="1">
      <c r="A71" s="799">
        <v>60</v>
      </c>
      <c r="B71" s="800" t="s">
        <v>241</v>
      </c>
      <c r="C71" s="794">
        <f>'Master Assumptions'!C63</f>
        <v>25</v>
      </c>
      <c r="D71" s="465">
        <v>25</v>
      </c>
    </row>
    <row r="72" spans="1:4" ht="16.5" thickBot="1">
      <c r="A72" s="1032" t="s">
        <v>259</v>
      </c>
      <c r="B72" s="1033"/>
      <c r="C72" s="466">
        <f>SUM(C12:C71)</f>
        <v>1630</v>
      </c>
      <c r="D72" s="467">
        <f>SUM(D12:D71)</f>
        <v>1955</v>
      </c>
    </row>
    <row r="73" spans="1:4" ht="15.75">
      <c r="A73" s="801" t="s">
        <v>258</v>
      </c>
      <c r="B73" s="802"/>
      <c r="C73" s="468">
        <f>SUM('Master Assumptions'!E68:U68)</f>
        <v>2779285</v>
      </c>
      <c r="D73" s="469"/>
    </row>
    <row r="74" spans="1:4" ht="15.75">
      <c r="A74" s="803" t="s">
        <v>330</v>
      </c>
      <c r="B74" s="804"/>
      <c r="C74" s="470">
        <f>'Master Assumptions'!F357</f>
        <v>2000</v>
      </c>
      <c r="D74" s="471"/>
    </row>
    <row r="75" spans="1:4" ht="16.5" thickBot="1">
      <c r="A75" s="805" t="s">
        <v>334</v>
      </c>
      <c r="B75" s="806"/>
      <c r="C75" s="472">
        <f>'Business Projection'!V8</f>
        <v>289515976.09571344</v>
      </c>
      <c r="D75" s="473"/>
    </row>
  </sheetData>
  <sheetProtection algorithmName="SHA-512" hashValue="kgbAGSeb93Qc4VpDmkLeK6hQ/1JqEro70zEdjM1OzfGMcx2QkPdXygb7iO/pq7MXT6Y+UewGHLstpfyfPnGAwg==" saltValue="98NVMy42edg0g/JlN7cFKA==" spinCount="100000" sheet="1" objects="1" scenarios="1"/>
  <mergeCells count="11">
    <mergeCell ref="A2:C2"/>
    <mergeCell ref="A72:B72"/>
    <mergeCell ref="A3:C3"/>
    <mergeCell ref="A4:C4"/>
    <mergeCell ref="A5:C5"/>
    <mergeCell ref="A6:C6"/>
    <mergeCell ref="A9:D9"/>
    <mergeCell ref="A10:A11"/>
    <mergeCell ref="B10:B11"/>
    <mergeCell ref="C10:C11"/>
    <mergeCell ref="D10:D1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354BD-2910-4ADB-8FA3-3FA84190D70C}">
  <sheetPr>
    <tabColor theme="4" tint="0.39997558519241921"/>
  </sheetPr>
  <dimension ref="A122:N153"/>
  <sheetViews>
    <sheetView showGridLines="0" zoomScale="70" zoomScaleNormal="70" workbookViewId="0">
      <selection activeCell="AC7" sqref="AC7"/>
    </sheetView>
  </sheetViews>
  <sheetFormatPr defaultColWidth="8.85546875" defaultRowHeight="12.75"/>
  <cols>
    <col min="1" max="1" width="20.85546875" style="152" bestFit="1" customWidth="1"/>
    <col min="2" max="3" width="8.85546875" style="152"/>
    <col min="4" max="4" width="10" style="152" bestFit="1" customWidth="1"/>
    <col min="5" max="6" width="8.85546875" style="152"/>
    <col min="7" max="7" width="9.7109375" style="152" customWidth="1"/>
    <col min="8" max="8" width="10.42578125" style="152" customWidth="1"/>
    <col min="9" max="11" width="8.85546875" style="152"/>
    <col min="12" max="12" width="9.5703125" style="152" bestFit="1" customWidth="1"/>
    <col min="13" max="16384" width="8.85546875" style="152"/>
  </cols>
  <sheetData>
    <row r="122" spans="1:14">
      <c r="A122" s="95"/>
      <c r="B122" s="95"/>
      <c r="C122" s="95"/>
      <c r="D122" s="95"/>
      <c r="E122" s="95"/>
      <c r="F122" s="95"/>
      <c r="G122" s="95"/>
      <c r="H122" s="95"/>
      <c r="I122" s="95"/>
      <c r="J122" s="95"/>
      <c r="K122" s="95"/>
      <c r="L122" s="95"/>
      <c r="M122" s="95"/>
      <c r="N122" s="95"/>
    </row>
    <row r="123" spans="1:14">
      <c r="A123" s="95"/>
      <c r="B123" s="95"/>
      <c r="C123" s="95"/>
      <c r="D123" s="95"/>
      <c r="E123" s="95"/>
      <c r="F123" s="95"/>
      <c r="G123" s="95"/>
      <c r="H123" s="95"/>
      <c r="I123" s="95"/>
      <c r="J123" s="95"/>
      <c r="K123" s="95"/>
      <c r="L123" s="95"/>
      <c r="M123" s="95"/>
      <c r="N123" s="95"/>
    </row>
    <row r="124" spans="1:14">
      <c r="A124" s="95"/>
      <c r="B124" s="95"/>
      <c r="C124" s="95"/>
      <c r="D124" s="235">
        <f>SUM('Business Projection'!V53:V56)</f>
        <v>7633079.1999999993</v>
      </c>
      <c r="E124" s="95"/>
      <c r="F124" s="95"/>
      <c r="G124" s="95"/>
      <c r="H124" s="95"/>
      <c r="I124" s="235">
        <f ca="1">'Business Projection'!V88</f>
        <v>33301.052686900068</v>
      </c>
      <c r="J124" s="95"/>
      <c r="K124" s="95"/>
      <c r="L124" s="95"/>
      <c r="M124" s="95"/>
      <c r="N124" s="95"/>
    </row>
    <row r="125" spans="1:14">
      <c r="A125" s="3" t="s">
        <v>119</v>
      </c>
      <c r="B125" s="3" t="s">
        <v>100</v>
      </c>
      <c r="C125" s="3" t="s">
        <v>103</v>
      </c>
      <c r="D125" s="3" t="s">
        <v>104</v>
      </c>
      <c r="E125" s="3" t="s">
        <v>101</v>
      </c>
      <c r="F125" s="3" t="s">
        <v>102</v>
      </c>
      <c r="G125" s="3" t="s">
        <v>112</v>
      </c>
      <c r="H125" s="3" t="s">
        <v>106</v>
      </c>
      <c r="I125" s="3" t="s">
        <v>107</v>
      </c>
      <c r="J125" s="3" t="s">
        <v>108</v>
      </c>
      <c r="K125" s="3" t="s">
        <v>60</v>
      </c>
      <c r="L125" s="3" t="s">
        <v>109</v>
      </c>
      <c r="M125" s="3" t="s">
        <v>110</v>
      </c>
      <c r="N125" s="95"/>
    </row>
    <row r="126" spans="1:14">
      <c r="A126" s="95" t="str">
        <f>'Business Projection'!A7</f>
        <v>Inputs</v>
      </c>
      <c r="B126" s="235">
        <f>'Business Projection'!V7/1000</f>
        <v>12620.591261045656</v>
      </c>
      <c r="C126" s="235">
        <f>'Business Projection'!V45/1000</f>
        <v>10812.961345717678</v>
      </c>
      <c r="D126" s="236">
        <f>(C126/$C$131)*$D$124/1000</f>
        <v>306.41332436264332</v>
      </c>
      <c r="E126" s="236">
        <f>B126-SUM(C126:D126)</f>
        <v>1501.216590965334</v>
      </c>
      <c r="F126" s="237">
        <f>E126/B126</f>
        <v>0.11894978293124386</v>
      </c>
      <c r="G126" s="237" t="e">
        <f>IF(MAX($F$126:$F$130)=F126,F126,0)</f>
        <v>#DIV/0!</v>
      </c>
      <c r="H126" s="237" t="e">
        <f>IF(MIN($F$126:$F$130)=F126,F126,0)</f>
        <v>#DIV/0!</v>
      </c>
      <c r="I126" s="236">
        <f ca="1">(C126/$C$131)*$I$124/1000</f>
        <v>1.3367981637827873</v>
      </c>
      <c r="J126" s="236">
        <f ca="1">E126-I126</f>
        <v>1499.8797928015513</v>
      </c>
      <c r="K126" s="237">
        <f ca="1">J126/B126</f>
        <v>0.11884386093946611</v>
      </c>
      <c r="L126" s="237" t="e">
        <f ca="1">IF(MAX($K$126:$K$130)=K126,K126,0)</f>
        <v>#DIV/0!</v>
      </c>
      <c r="M126" s="237" t="e">
        <f ca="1">IF(MIN($K$126:$K$130)=K126,K126,0)</f>
        <v>#DIV/0!</v>
      </c>
      <c r="N126" s="95"/>
    </row>
    <row r="127" spans="1:14">
      <c r="A127" s="95" t="str">
        <f>'Business Projection'!A8</f>
        <v>Output</v>
      </c>
      <c r="B127" s="235">
        <f>'Business Projection'!V8/1000</f>
        <v>289515.97609571344</v>
      </c>
      <c r="C127" s="235">
        <f>'Business Projection'!V46/1000</f>
        <v>248931.71995391638</v>
      </c>
      <c r="D127" s="236">
        <f>(C127/$C$131)*$D$124/1000</f>
        <v>7054.1263777473969</v>
      </c>
      <c r="E127" s="236">
        <f t="shared" ref="E127:E130" si="0">B127-SUM(C127:D127)</f>
        <v>33530.129764049663</v>
      </c>
      <c r="F127" s="237">
        <f t="shared" ref="F127:F131" si="1">E127/B127</f>
        <v>0.11581443696552575</v>
      </c>
      <c r="G127" s="237" t="e">
        <f>IF(MAX($F$126:$F$130)=F127,F127,0)</f>
        <v>#DIV/0!</v>
      </c>
      <c r="H127" s="237" t="e">
        <f>IF(MIN($F$126:$F$130)=F127,F127,0)</f>
        <v>#DIV/0!</v>
      </c>
      <c r="I127" s="236">
        <f ca="1">(C127/$C$131)*$I$124/1000</f>
        <v>30.775238669791033</v>
      </c>
      <c r="J127" s="236">
        <f t="shared" ref="J127:J130" ca="1" si="2">E127-I127</f>
        <v>33499.354525379873</v>
      </c>
      <c r="K127" s="237">
        <f t="shared" ref="K127:K131" ca="1" si="3">J127/B127</f>
        <v>0.11570813803485942</v>
      </c>
      <c r="L127" s="237" t="e">
        <f ca="1">IF(MAX($K$126:$K$130)=K127,K127,0)</f>
        <v>#DIV/0!</v>
      </c>
      <c r="M127" s="237" t="e">
        <f ca="1">IF(MIN($K$126:$K$130)=K127,K127,0)</f>
        <v>#DIV/0!</v>
      </c>
      <c r="N127" s="95"/>
    </row>
    <row r="128" spans="1:14">
      <c r="A128" s="95" t="str">
        <f>'Business Projection'!A9</f>
        <v>Services</v>
      </c>
      <c r="B128" s="235">
        <f>'Business Projection'!V9/1000</f>
        <v>3786.1410000000001</v>
      </c>
      <c r="C128" s="235">
        <f>'Business Projection'!V47/1000</f>
        <v>3252</v>
      </c>
      <c r="D128" s="236">
        <f>(C128/$C$131)*$D$124/1000</f>
        <v>92.153860442860861</v>
      </c>
      <c r="E128" s="236">
        <f t="shared" si="0"/>
        <v>441.98713955713902</v>
      </c>
      <c r="F128" s="237">
        <f t="shared" si="1"/>
        <v>0.11673816150986956</v>
      </c>
      <c r="G128" s="237" t="e">
        <f>IF(MAX($F$126:$F$130)=F128,F128,0)</f>
        <v>#DIV/0!</v>
      </c>
      <c r="H128" s="237" t="e">
        <f>IF(MIN($F$126:$F$130)=F128,F128,0)</f>
        <v>#DIV/0!</v>
      </c>
      <c r="I128" s="236">
        <f ca="1">(C128/$C$131)*$I$124/1000</f>
        <v>0.4020422795965416</v>
      </c>
      <c r="J128" s="236">
        <f t="shared" ca="1" si="2"/>
        <v>441.5850972775425</v>
      </c>
      <c r="K128" s="237">
        <f t="shared" ca="1" si="3"/>
        <v>0.11663197363160603</v>
      </c>
      <c r="L128" s="237" t="e">
        <f ca="1">IF(MAX($K$126:$K$130)=K128,K128,0)</f>
        <v>#DIV/0!</v>
      </c>
      <c r="M128" s="237" t="e">
        <f ca="1">IF(MIN($K$126:$K$130)=K128,K128,0)</f>
        <v>#DIV/0!</v>
      </c>
      <c r="N128" s="95"/>
    </row>
    <row r="129" spans="1:14">
      <c r="A129" s="95" t="str">
        <f>'Business Projection'!A10</f>
        <v>Processing</v>
      </c>
      <c r="B129" s="235">
        <f>'Business Projection'!V10/1000</f>
        <v>8222.6295479126238</v>
      </c>
      <c r="C129" s="235">
        <f>'Business Projection'!V48/1000</f>
        <v>6365.5943457918256</v>
      </c>
      <c r="D129" s="236">
        <f>(C129/$C$131)*$D$124/1000</f>
        <v>180.38563744709842</v>
      </c>
      <c r="E129" s="236">
        <f t="shared" si="0"/>
        <v>1676.6495646736994</v>
      </c>
      <c r="F129" s="237">
        <f t="shared" si="1"/>
        <v>0.203906737486347</v>
      </c>
      <c r="G129" s="237" t="e">
        <f>IF(MAX($F$126:$F$130)=F129,F129,0)</f>
        <v>#DIV/0!</v>
      </c>
      <c r="H129" s="237" t="e">
        <f>IF(MIN($F$126:$F$130)=F129,F129,0)</f>
        <v>#DIV/0!</v>
      </c>
      <c r="I129" s="236">
        <f ca="1">(C129/$C$131)*$I$124/1000</f>
        <v>0.78697357372970522</v>
      </c>
      <c r="J129" s="236">
        <f t="shared" ca="1" si="2"/>
        <v>1675.8625910999697</v>
      </c>
      <c r="K129" s="237">
        <f t="shared" ca="1" si="3"/>
        <v>0.20381102922548663</v>
      </c>
      <c r="L129" s="237" t="e">
        <f ca="1">IF(MAX($K$126:$K$130)=K129,K129,0)</f>
        <v>#DIV/0!</v>
      </c>
      <c r="M129" s="237" t="e">
        <f ca="1">IF(MIN($K$126:$K$130)=K129,K129,0)</f>
        <v>#DIV/0!</v>
      </c>
      <c r="N129" s="95"/>
    </row>
    <row r="130" spans="1:14">
      <c r="A130" s="95" t="str">
        <f>'Business Projection'!A11</f>
        <v>Others</v>
      </c>
      <c r="B130" s="235">
        <f>'Business Projection'!V11/1000</f>
        <v>0</v>
      </c>
      <c r="C130" s="235">
        <f>'Business Projection'!V49/1000</f>
        <v>0</v>
      </c>
      <c r="D130" s="236">
        <f>(C130/$C$131)*$D$124/1000</f>
        <v>0</v>
      </c>
      <c r="E130" s="236">
        <f t="shared" si="0"/>
        <v>0</v>
      </c>
      <c r="F130" s="237" t="e">
        <f t="shared" si="1"/>
        <v>#DIV/0!</v>
      </c>
      <c r="G130" s="237" t="e">
        <f>IF(MAX($F$126:$F$130)=F130,F130,0)</f>
        <v>#DIV/0!</v>
      </c>
      <c r="H130" s="237" t="e">
        <f>IF(MIN($F$126:$F$130)=F130,F130,0)</f>
        <v>#DIV/0!</v>
      </c>
      <c r="I130" s="236">
        <f ca="1">(C130/$C$131)*$I$124/1000</f>
        <v>0</v>
      </c>
      <c r="J130" s="236">
        <f t="shared" ca="1" si="2"/>
        <v>0</v>
      </c>
      <c r="K130" s="237" t="e">
        <f t="shared" ca="1" si="3"/>
        <v>#DIV/0!</v>
      </c>
      <c r="L130" s="237" t="e">
        <f ca="1">IF(MAX($K$126:$K$130)=K130,K130,0)</f>
        <v>#DIV/0!</v>
      </c>
      <c r="M130" s="237" t="e">
        <f ca="1">IF(MIN($K$126:$K$130)=K130,K130,0)</f>
        <v>#DIV/0!</v>
      </c>
      <c r="N130" s="95"/>
    </row>
    <row r="131" spans="1:14">
      <c r="A131" s="95"/>
      <c r="B131" s="238">
        <f>SUM(B126:B130)</f>
        <v>314145.33790467173</v>
      </c>
      <c r="C131" s="238">
        <f>SUM(C126:C130)</f>
        <v>269362.27564542589</v>
      </c>
      <c r="D131" s="238">
        <f>SUM(D126:D130)</f>
        <v>7633.0791999999992</v>
      </c>
      <c r="E131" s="238">
        <f>SUM(E126:E130)</f>
        <v>37149.983059245838</v>
      </c>
      <c r="F131" s="239">
        <f t="shared" si="1"/>
        <v>0.11825731143117936</v>
      </c>
      <c r="G131" s="95"/>
      <c r="H131" s="95"/>
      <c r="I131" s="238">
        <f ca="1">SUM(I126:I130)</f>
        <v>33.301052686900064</v>
      </c>
      <c r="J131" s="238">
        <f ca="1">SUM(J126:J130)</f>
        <v>37116.682006558935</v>
      </c>
      <c r="K131" s="240">
        <f t="shared" ca="1" si="3"/>
        <v>0.11815130618880008</v>
      </c>
      <c r="L131" s="239"/>
      <c r="M131" s="95"/>
      <c r="N131" s="95"/>
    </row>
    <row r="132" spans="1:14">
      <c r="A132" s="95"/>
      <c r="B132" s="95"/>
      <c r="C132" s="95"/>
      <c r="D132" s="95"/>
      <c r="E132" s="95"/>
      <c r="F132" s="95"/>
      <c r="G132" s="95"/>
      <c r="H132" s="95"/>
      <c r="I132" s="95"/>
      <c r="J132" s="95"/>
      <c r="K132" s="95"/>
      <c r="L132" s="95"/>
      <c r="M132" s="95"/>
      <c r="N132" s="95"/>
    </row>
    <row r="133" spans="1:14">
      <c r="A133" s="95"/>
      <c r="B133" s="95"/>
      <c r="C133" s="95"/>
      <c r="D133" s="95"/>
      <c r="E133" s="95"/>
      <c r="F133" s="95"/>
      <c r="G133" s="95"/>
      <c r="H133" s="95"/>
      <c r="I133" s="95"/>
      <c r="J133" s="95"/>
      <c r="K133" s="95"/>
      <c r="L133" s="95"/>
      <c r="M133" s="95"/>
      <c r="N133" s="95"/>
    </row>
    <row r="134" spans="1:14">
      <c r="A134" s="3" t="s">
        <v>111</v>
      </c>
      <c r="B134" s="186">
        <f>'Business Projection'!J5</f>
        <v>44681</v>
      </c>
      <c r="C134" s="186">
        <f>'Business Projection'!K5</f>
        <v>44712</v>
      </c>
      <c r="D134" s="186">
        <f>'Business Projection'!L5</f>
        <v>44742</v>
      </c>
      <c r="E134" s="186">
        <f>'Business Projection'!M5</f>
        <v>44773</v>
      </c>
      <c r="F134" s="186">
        <f>'Business Projection'!N5</f>
        <v>44804</v>
      </c>
      <c r="G134" s="186">
        <f>'Business Projection'!O5</f>
        <v>44834</v>
      </c>
      <c r="H134" s="186">
        <f>'Business Projection'!P5</f>
        <v>44865</v>
      </c>
      <c r="I134" s="186">
        <f>'Business Projection'!Q5</f>
        <v>44895</v>
      </c>
      <c r="J134" s="186">
        <f>'Business Projection'!R5</f>
        <v>44926</v>
      </c>
      <c r="K134" s="186">
        <f>'Business Projection'!S5</f>
        <v>44957</v>
      </c>
      <c r="L134" s="186">
        <f>'Business Projection'!T5</f>
        <v>44985</v>
      </c>
      <c r="M134" s="186">
        <f>'Business Projection'!U5</f>
        <v>45016</v>
      </c>
      <c r="N134" s="95"/>
    </row>
    <row r="135" spans="1:14">
      <c r="A135" s="95" t="s">
        <v>100</v>
      </c>
      <c r="B135" s="235">
        <f>'Business Projection'!J13/1000</f>
        <v>21782.102254393063</v>
      </c>
      <c r="C135" s="235">
        <f>'Business Projection'!K13/1000</f>
        <v>23788.265446189722</v>
      </c>
      <c r="D135" s="235">
        <f>'Business Projection'!L13/1000</f>
        <v>25751.649988153324</v>
      </c>
      <c r="E135" s="235">
        <f>'Business Projection'!M13/1000</f>
        <v>25448.708508193595</v>
      </c>
      <c r="F135" s="235">
        <f>'Business Projection'!N13/1000</f>
        <v>37487.833161313676</v>
      </c>
      <c r="G135" s="235">
        <f>'Business Projection'!O13/1000</f>
        <v>42060.78328936491</v>
      </c>
      <c r="H135" s="235">
        <f>'Business Projection'!P13/1000</f>
        <v>33104.351655866187</v>
      </c>
      <c r="I135" s="235">
        <f>'Business Projection'!Q13/1000</f>
        <v>33486.977917564953</v>
      </c>
      <c r="J135" s="235">
        <f>'Business Projection'!R13/1000</f>
        <v>13640.42366821177</v>
      </c>
      <c r="K135" s="235">
        <f>'Business Projection'!S13/1000</f>
        <v>26186.600295134514</v>
      </c>
      <c r="L135" s="235">
        <f>'Business Projection'!T13/1000</f>
        <v>15227.670994911181</v>
      </c>
      <c r="M135" s="235">
        <f>'Business Projection'!U13/1000</f>
        <v>16179.970725374784</v>
      </c>
      <c r="N135" s="95"/>
    </row>
    <row r="136" spans="1:14">
      <c r="A136" s="95" t="s">
        <v>101</v>
      </c>
      <c r="B136" s="235">
        <f>'Business Projection'!J60/1000</f>
        <v>2932.401159893062</v>
      </c>
      <c r="C136" s="235">
        <f>'Business Projection'!K60/1000</f>
        <v>3279.8684432397222</v>
      </c>
      <c r="D136" s="235">
        <f>'Business Projection'!L60/1000</f>
        <v>3381.6277330249923</v>
      </c>
      <c r="E136" s="235">
        <f>'Business Projection'!M60/1000</f>
        <v>2240.9715186807625</v>
      </c>
      <c r="F136" s="235">
        <f>'Business Projection'!N60/1000</f>
        <v>3282.5207233623937</v>
      </c>
      <c r="G136" s="235">
        <f>'Business Projection'!O60/1000</f>
        <v>3821.591899069786</v>
      </c>
      <c r="H136" s="235">
        <f>'Business Projection'!P60/1000</f>
        <v>3766.7827653366735</v>
      </c>
      <c r="I136" s="235">
        <f>'Business Projection'!Q60/1000</f>
        <v>3818.7810870120043</v>
      </c>
      <c r="J136" s="235">
        <f>'Business Projection'!R60/1000</f>
        <v>1615.4008337398079</v>
      </c>
      <c r="K136" s="235">
        <f>'Business Projection'!S60/1000</f>
        <v>3145.971760937322</v>
      </c>
      <c r="L136" s="235">
        <f>'Business Projection'!T60/1000</f>
        <v>1799.1666907414608</v>
      </c>
      <c r="M136" s="235">
        <f>'Business Projection'!U60/1000</f>
        <v>1897.7884442078118</v>
      </c>
      <c r="N136" s="95"/>
    </row>
    <row r="137" spans="1:14">
      <c r="A137" s="95" t="s">
        <v>102</v>
      </c>
      <c r="B137" s="237">
        <f>B136/B135</f>
        <v>0.13462434092199016</v>
      </c>
      <c r="C137" s="237">
        <f t="shared" ref="C137:M137" si="4">C136/C135</f>
        <v>0.13787757878601756</v>
      </c>
      <c r="D137" s="237">
        <f t="shared" si="4"/>
        <v>0.13131693443257661</v>
      </c>
      <c r="E137" s="237">
        <f t="shared" si="4"/>
        <v>8.8058359345003612E-2</v>
      </c>
      <c r="F137" s="237">
        <f t="shared" si="4"/>
        <v>8.7562295458299702E-2</v>
      </c>
      <c r="G137" s="237">
        <f t="shared" si="4"/>
        <v>9.0858790545540732E-2</v>
      </c>
      <c r="H137" s="237">
        <f t="shared" si="4"/>
        <v>0.11378512421853121</v>
      </c>
      <c r="I137" s="237">
        <f t="shared" si="4"/>
        <v>0.1140377939273205</v>
      </c>
      <c r="J137" s="237">
        <f t="shared" si="4"/>
        <v>0.11842746772627066</v>
      </c>
      <c r="K137" s="237">
        <f t="shared" si="4"/>
        <v>0.12013670065914762</v>
      </c>
      <c r="L137" s="237">
        <f t="shared" si="4"/>
        <v>0.11815114020671386</v>
      </c>
      <c r="M137" s="237">
        <f t="shared" si="4"/>
        <v>0.11729245228061762</v>
      </c>
      <c r="N137" s="95"/>
    </row>
    <row r="138" spans="1:14">
      <c r="A138" s="95" t="s">
        <v>105</v>
      </c>
      <c r="B138" s="237">
        <f t="shared" ref="B138:M138" si="5">IF(MAX($B$137:$M$137)=B137,B137,0)</f>
        <v>0</v>
      </c>
      <c r="C138" s="237">
        <f t="shared" si="5"/>
        <v>0.13787757878601756</v>
      </c>
      <c r="D138" s="237">
        <f t="shared" si="5"/>
        <v>0</v>
      </c>
      <c r="E138" s="237">
        <f t="shared" si="5"/>
        <v>0</v>
      </c>
      <c r="F138" s="237">
        <f t="shared" si="5"/>
        <v>0</v>
      </c>
      <c r="G138" s="237">
        <f t="shared" si="5"/>
        <v>0</v>
      </c>
      <c r="H138" s="237">
        <f t="shared" si="5"/>
        <v>0</v>
      </c>
      <c r="I138" s="237">
        <f t="shared" si="5"/>
        <v>0</v>
      </c>
      <c r="J138" s="237">
        <f t="shared" si="5"/>
        <v>0</v>
      </c>
      <c r="K138" s="237">
        <f t="shared" si="5"/>
        <v>0</v>
      </c>
      <c r="L138" s="237">
        <f t="shared" si="5"/>
        <v>0</v>
      </c>
      <c r="M138" s="237">
        <f t="shared" si="5"/>
        <v>0</v>
      </c>
      <c r="N138" s="95"/>
    </row>
    <row r="139" spans="1:14">
      <c r="A139" s="95" t="s">
        <v>120</v>
      </c>
      <c r="B139" s="237">
        <f t="shared" ref="B139:M139" si="6">IF(MIN($B$137:$M$137)=B137,B137,0)</f>
        <v>0</v>
      </c>
      <c r="C139" s="237">
        <f t="shared" si="6"/>
        <v>0</v>
      </c>
      <c r="D139" s="237">
        <f t="shared" si="6"/>
        <v>0</v>
      </c>
      <c r="E139" s="237">
        <f t="shared" si="6"/>
        <v>0</v>
      </c>
      <c r="F139" s="237">
        <f t="shared" si="6"/>
        <v>8.7562295458299702E-2</v>
      </c>
      <c r="G139" s="237">
        <f t="shared" si="6"/>
        <v>0</v>
      </c>
      <c r="H139" s="237">
        <f t="shared" si="6"/>
        <v>0</v>
      </c>
      <c r="I139" s="237">
        <f t="shared" si="6"/>
        <v>0</v>
      </c>
      <c r="J139" s="237">
        <f t="shared" si="6"/>
        <v>0</v>
      </c>
      <c r="K139" s="237">
        <f t="shared" si="6"/>
        <v>0</v>
      </c>
      <c r="L139" s="237">
        <f t="shared" si="6"/>
        <v>0</v>
      </c>
      <c r="M139" s="237">
        <f t="shared" si="6"/>
        <v>0</v>
      </c>
      <c r="N139" s="95"/>
    </row>
    <row r="140" spans="1:14">
      <c r="A140" s="95" t="s">
        <v>108</v>
      </c>
      <c r="B140" s="235">
        <f ca="1">'Business Projection'!J90/1000</f>
        <v>2929.6439376708399</v>
      </c>
      <c r="C140" s="235">
        <f ca="1">'Business Projection'!K90/1000</f>
        <v>3277.1151205561719</v>
      </c>
      <c r="D140" s="235">
        <f ca="1">'Business Projection'!L90/1000</f>
        <v>3378.8533245033832</v>
      </c>
      <c r="E140" s="235">
        <f ca="1">'Business Projection'!M90/1000</f>
        <v>2238.1871501103142</v>
      </c>
      <c r="F140" s="235">
        <f ca="1">'Business Projection'!N90/1000</f>
        <v>3279.7333539207002</v>
      </c>
      <c r="G140" s="235">
        <f ca="1">'Business Projection'!O90/1000</f>
        <v>3818.808487989691</v>
      </c>
      <c r="H140" s="235">
        <f ca="1">'Business Projection'!P90/1000</f>
        <v>3764.0033274620332</v>
      </c>
      <c r="I140" s="235">
        <f ca="1">'Business Projection'!Q90/1000</f>
        <v>3816.0056372423392</v>
      </c>
      <c r="J140" s="235">
        <f ca="1">'Business Projection'!R90/1000</f>
        <v>1612.6293870305117</v>
      </c>
      <c r="K140" s="235">
        <f ca="1">'Business Projection'!S90/1000</f>
        <v>3143.1959989665374</v>
      </c>
      <c r="L140" s="235">
        <f ca="1">'Business Projection'!T90/1000</f>
        <v>1796.3852396880689</v>
      </c>
      <c r="M140" s="235">
        <f ca="1">'Business Projection'!U90/1000</f>
        <v>1895.011041418308</v>
      </c>
      <c r="N140" s="95"/>
    </row>
    <row r="141" spans="1:14">
      <c r="A141" s="95" t="s">
        <v>60</v>
      </c>
      <c r="B141" s="237">
        <f ca="1">B140/B135</f>
        <v>0.13449775891488999</v>
      </c>
      <c r="C141" s="237">
        <f t="shared" ref="C141:M141" ca="1" si="7">C140/C135</f>
        <v>0.13776183589211977</v>
      </c>
      <c r="D141" s="237">
        <f t="shared" ca="1" si="7"/>
        <v>0.13120919731581379</v>
      </c>
      <c r="E141" s="237">
        <f t="shared" ca="1" si="7"/>
        <v>8.7948948347995576E-2</v>
      </c>
      <c r="F141" s="237">
        <f t="shared" ca="1" si="7"/>
        <v>8.748794148244575E-2</v>
      </c>
      <c r="G141" s="237">
        <f t="shared" ca="1" si="7"/>
        <v>9.0792614624351953E-2</v>
      </c>
      <c r="H141" s="237">
        <f t="shared" ca="1" si="7"/>
        <v>0.11370116432396708</v>
      </c>
      <c r="I141" s="237">
        <f t="shared" ca="1" si="7"/>
        <v>0.11395491246287491</v>
      </c>
      <c r="J141" s="237">
        <f t="shared" ca="1" si="7"/>
        <v>0.11822428879453742</v>
      </c>
      <c r="K141" s="237">
        <f t="shared" ca="1" si="7"/>
        <v>0.12003070133355742</v>
      </c>
      <c r="L141" s="237">
        <f t="shared" ca="1" si="7"/>
        <v>0.11796848252686765</v>
      </c>
      <c r="M141" s="237">
        <f t="shared" ca="1" si="7"/>
        <v>0.11712079543174903</v>
      </c>
      <c r="N141" s="95"/>
    </row>
    <row r="142" spans="1:14">
      <c r="A142" s="95" t="s">
        <v>121</v>
      </c>
      <c r="B142" s="237">
        <f t="shared" ref="B142:M142" ca="1" si="8">IF(MAX($B$141:$M$141)=B141,B141,0)</f>
        <v>0</v>
      </c>
      <c r="C142" s="237">
        <f t="shared" ca="1" si="8"/>
        <v>0.13776183589211977</v>
      </c>
      <c r="D142" s="237">
        <f t="shared" ca="1" si="8"/>
        <v>0</v>
      </c>
      <c r="E142" s="237">
        <f t="shared" ca="1" si="8"/>
        <v>0</v>
      </c>
      <c r="F142" s="237">
        <f t="shared" ca="1" si="8"/>
        <v>0</v>
      </c>
      <c r="G142" s="237">
        <f t="shared" ca="1" si="8"/>
        <v>0</v>
      </c>
      <c r="H142" s="237">
        <f t="shared" ca="1" si="8"/>
        <v>0</v>
      </c>
      <c r="I142" s="237">
        <f t="shared" ca="1" si="8"/>
        <v>0</v>
      </c>
      <c r="J142" s="237">
        <f t="shared" ca="1" si="8"/>
        <v>0</v>
      </c>
      <c r="K142" s="237">
        <f t="shared" ca="1" si="8"/>
        <v>0</v>
      </c>
      <c r="L142" s="237">
        <f t="shared" ca="1" si="8"/>
        <v>0</v>
      </c>
      <c r="M142" s="237">
        <f t="shared" ca="1" si="8"/>
        <v>0</v>
      </c>
      <c r="N142" s="95"/>
    </row>
    <row r="143" spans="1:14">
      <c r="A143" s="95" t="s">
        <v>122</v>
      </c>
      <c r="B143" s="237">
        <f t="shared" ref="B143:M143" ca="1" si="9">IF(MIN($B$141:$M$141)=B141,B141,0)</f>
        <v>0</v>
      </c>
      <c r="C143" s="237">
        <f t="shared" ca="1" si="9"/>
        <v>0</v>
      </c>
      <c r="D143" s="237">
        <f t="shared" ca="1" si="9"/>
        <v>0</v>
      </c>
      <c r="E143" s="237">
        <f t="shared" ca="1" si="9"/>
        <v>0</v>
      </c>
      <c r="F143" s="237">
        <f t="shared" ca="1" si="9"/>
        <v>8.748794148244575E-2</v>
      </c>
      <c r="G143" s="237">
        <f t="shared" ca="1" si="9"/>
        <v>0</v>
      </c>
      <c r="H143" s="237">
        <f t="shared" ca="1" si="9"/>
        <v>0</v>
      </c>
      <c r="I143" s="237">
        <f t="shared" ca="1" si="9"/>
        <v>0</v>
      </c>
      <c r="J143" s="237">
        <f t="shared" ca="1" si="9"/>
        <v>0</v>
      </c>
      <c r="K143" s="237">
        <f t="shared" ca="1" si="9"/>
        <v>0</v>
      </c>
      <c r="L143" s="237">
        <f t="shared" ca="1" si="9"/>
        <v>0</v>
      </c>
      <c r="M143" s="237">
        <f t="shared" ca="1" si="9"/>
        <v>0</v>
      </c>
      <c r="N143" s="95"/>
    </row>
    <row r="144" spans="1:14">
      <c r="A144" s="95"/>
      <c r="B144" s="95"/>
      <c r="C144" s="95"/>
      <c r="D144" s="95"/>
      <c r="E144" s="95"/>
      <c r="F144" s="95"/>
      <c r="G144" s="95"/>
      <c r="H144" s="95"/>
      <c r="I144" s="95"/>
      <c r="J144" s="95"/>
      <c r="K144" s="95"/>
      <c r="L144" s="95"/>
      <c r="M144" s="95"/>
      <c r="N144" s="95"/>
    </row>
    <row r="145" spans="1:14">
      <c r="A145" s="3" t="s">
        <v>111</v>
      </c>
      <c r="B145" s="186">
        <f>B134</f>
        <v>44681</v>
      </c>
      <c r="C145" s="186">
        <f t="shared" ref="C145:M145" si="10">C134</f>
        <v>44712</v>
      </c>
      <c r="D145" s="186">
        <f t="shared" si="10"/>
        <v>44742</v>
      </c>
      <c r="E145" s="186">
        <f t="shared" si="10"/>
        <v>44773</v>
      </c>
      <c r="F145" s="186">
        <f t="shared" si="10"/>
        <v>44804</v>
      </c>
      <c r="G145" s="186">
        <f t="shared" si="10"/>
        <v>44834</v>
      </c>
      <c r="H145" s="186">
        <f t="shared" si="10"/>
        <v>44865</v>
      </c>
      <c r="I145" s="186">
        <f t="shared" si="10"/>
        <v>44895</v>
      </c>
      <c r="J145" s="186">
        <f t="shared" si="10"/>
        <v>44926</v>
      </c>
      <c r="K145" s="186">
        <f t="shared" si="10"/>
        <v>44957</v>
      </c>
      <c r="L145" s="186">
        <f t="shared" si="10"/>
        <v>44985</v>
      </c>
      <c r="M145" s="186">
        <f t="shared" si="10"/>
        <v>45016</v>
      </c>
      <c r="N145" s="95"/>
    </row>
    <row r="146" spans="1:14">
      <c r="A146" s="95" t="s">
        <v>100</v>
      </c>
      <c r="B146" s="236">
        <f>B135</f>
        <v>21782.102254393063</v>
      </c>
      <c r="C146" s="236">
        <f t="shared" ref="C146:M146" si="11">C135</f>
        <v>23788.265446189722</v>
      </c>
      <c r="D146" s="236">
        <f t="shared" si="11"/>
        <v>25751.649988153324</v>
      </c>
      <c r="E146" s="236">
        <f t="shared" si="11"/>
        <v>25448.708508193595</v>
      </c>
      <c r="F146" s="236">
        <f t="shared" si="11"/>
        <v>37487.833161313676</v>
      </c>
      <c r="G146" s="236">
        <f t="shared" si="11"/>
        <v>42060.78328936491</v>
      </c>
      <c r="H146" s="236">
        <f t="shared" si="11"/>
        <v>33104.351655866187</v>
      </c>
      <c r="I146" s="236">
        <f t="shared" si="11"/>
        <v>33486.977917564953</v>
      </c>
      <c r="J146" s="236">
        <f t="shared" si="11"/>
        <v>13640.42366821177</v>
      </c>
      <c r="K146" s="236">
        <f t="shared" si="11"/>
        <v>26186.600295134514</v>
      </c>
      <c r="L146" s="236">
        <f t="shared" si="11"/>
        <v>15227.670994911181</v>
      </c>
      <c r="M146" s="236">
        <f t="shared" si="11"/>
        <v>16179.970725374784</v>
      </c>
      <c r="N146" s="95"/>
    </row>
    <row r="147" spans="1:14">
      <c r="A147" s="95" t="s">
        <v>113</v>
      </c>
      <c r="B147" s="235">
        <f ca="1">'Business Projection'!J121/1000</f>
        <v>19603.892028953756</v>
      </c>
      <c r="C147" s="235">
        <f ca="1">'Business Projection'!K121/1000</f>
        <v>23587.649127010056</v>
      </c>
      <c r="D147" s="235">
        <f ca="1">'Business Projection'!L121/1000</f>
        <v>25555.311533956959</v>
      </c>
      <c r="E147" s="235">
        <f ca="1">'Business Projection'!M121/1000</f>
        <v>25479.002656189568</v>
      </c>
      <c r="F147" s="235">
        <f ca="1">'Business Projection'!N121/1000</f>
        <v>36283.920696001675</v>
      </c>
      <c r="G147" s="235">
        <f ca="1">'Business Projection'!O121/1000</f>
        <v>41603.488276559801</v>
      </c>
      <c r="H147" s="235">
        <f ca="1">'Business Projection'!P121/1000</f>
        <v>33999.994819216059</v>
      </c>
      <c r="I147" s="235">
        <f ca="1">'Business Projection'!Q121/1000</f>
        <v>33448.715291395078</v>
      </c>
      <c r="J147" s="235">
        <f ca="1">'Business Projection'!R121/1000</f>
        <v>15625.079093147086</v>
      </c>
      <c r="K147" s="235">
        <f ca="1">'Business Projection'!S121/1000</f>
        <v>24931.982632442239</v>
      </c>
      <c r="L147" s="235">
        <f ca="1">'Business Projection'!T121/1000</f>
        <v>16323.563924933516</v>
      </c>
      <c r="M147" s="235">
        <f ca="1">'Business Projection'!U121/1000</f>
        <v>16084.740752328422</v>
      </c>
      <c r="N147" s="95"/>
    </row>
    <row r="148" spans="1:14">
      <c r="A148" s="95" t="s">
        <v>114</v>
      </c>
      <c r="B148" s="235">
        <f ca="1">'Business Projection'!J149/1000</f>
        <v>17730.402421500003</v>
      </c>
      <c r="C148" s="235">
        <f ca="1">'Business Projection'!K149/1000</f>
        <v>19700.537098999997</v>
      </c>
      <c r="D148" s="235">
        <f ca="1">'Business Projection'!L149/1000</f>
        <v>20800.604423000001</v>
      </c>
      <c r="E148" s="235">
        <f ca="1">'Business Projection'!M149/1000</f>
        <v>22363.965057499998</v>
      </c>
      <c r="F148" s="235">
        <f ca="1">'Business Projection'!N149/1000</f>
        <v>32483.100015</v>
      </c>
      <c r="G148" s="235">
        <f ca="1">'Business Projection'!O149/1000</f>
        <v>36283.145697500004</v>
      </c>
      <c r="H148" s="235">
        <f ca="1">'Business Projection'!P149/1000</f>
        <v>27986.912909999999</v>
      </c>
      <c r="I148" s="235">
        <f ca="1">'Business Projection'!Q149/1000</f>
        <v>27882.624424999998</v>
      </c>
      <c r="J148" s="235">
        <f ca="1">'Business Projection'!R149/1000</f>
        <v>11675.151358249999</v>
      </c>
      <c r="K148" s="235">
        <f ca="1">'Business Projection'!S149/1000</f>
        <v>22242.333017499997</v>
      </c>
      <c r="L148" s="235">
        <f ca="1">'Business Projection'!T149/1000</f>
        <v>12997.003607500003</v>
      </c>
      <c r="M148" s="235">
        <f ca="1">'Business Projection'!U149/1000</f>
        <v>13587.0436075</v>
      </c>
      <c r="N148" s="95"/>
    </row>
    <row r="149" spans="1:14">
      <c r="A149" s="95" t="s">
        <v>115</v>
      </c>
      <c r="B149" s="235">
        <f ca="1">'Business Projection'!J165/1000</f>
        <v>1755.919607453756</v>
      </c>
      <c r="C149" s="235">
        <f ca="1">'Business Projection'!K165/1000</f>
        <v>3780.3709275487327</v>
      </c>
      <c r="D149" s="235">
        <f ca="1">'Business Projection'!L165/1000</f>
        <v>4346.7515913242396</v>
      </c>
      <c r="E149" s="235">
        <f ca="1">'Business Projection'!M165/1000</f>
        <v>2822.1286078969015</v>
      </c>
      <c r="F149" s="235">
        <f ca="1">'Business Projection'!N165/1000</f>
        <v>3323.9804337821975</v>
      </c>
      <c r="G149" s="235">
        <f ca="1">'Business Projection'!O165/1000</f>
        <v>4876.6134902019203</v>
      </c>
      <c r="H149" s="235">
        <f ca="1">'Business Projection'!P165/1000</f>
        <v>5704.6725935636387</v>
      </c>
      <c r="I149" s="235">
        <f ca="1">'Business Projection'!Q165/1000</f>
        <v>5278.770138847638</v>
      </c>
      <c r="J149" s="235">
        <f ca="1">'Business Projection'!R165/1000</f>
        <v>3843.2143437433465</v>
      </c>
      <c r="K149" s="235">
        <f ca="1">'Business Projection'!S165/1000</f>
        <v>2581.9952418603452</v>
      </c>
      <c r="L149" s="235">
        <f ca="1">'Business Projection'!T165/1000</f>
        <v>3219.8549774912335</v>
      </c>
      <c r="M149" s="235">
        <f ca="1">'Business Projection'!U165/1000</f>
        <v>2390.9958531500288</v>
      </c>
      <c r="N149" s="95"/>
    </row>
    <row r="150" spans="1:14">
      <c r="A150" s="95" t="s">
        <v>118</v>
      </c>
      <c r="B150" s="95">
        <v>0</v>
      </c>
      <c r="C150" s="95">
        <v>0</v>
      </c>
      <c r="D150" s="95">
        <v>0</v>
      </c>
      <c r="E150" s="95">
        <v>0</v>
      </c>
      <c r="F150" s="95">
        <v>0</v>
      </c>
      <c r="G150" s="95">
        <v>0</v>
      </c>
      <c r="H150" s="95">
        <v>0</v>
      </c>
      <c r="I150" s="95">
        <v>0</v>
      </c>
      <c r="J150" s="95">
        <v>0</v>
      </c>
      <c r="K150" s="95">
        <v>0</v>
      </c>
      <c r="L150" s="95">
        <v>0</v>
      </c>
      <c r="M150" s="95">
        <v>0</v>
      </c>
      <c r="N150" s="95"/>
    </row>
    <row r="151" spans="1:14">
      <c r="A151" s="95" t="s">
        <v>116</v>
      </c>
      <c r="B151" s="235">
        <f t="shared" ref="B151:M151" ca="1" si="12">IF(MAX($B$149:$M$149)=B149,B149,0)</f>
        <v>0</v>
      </c>
      <c r="C151" s="235">
        <f t="shared" ca="1" si="12"/>
        <v>0</v>
      </c>
      <c r="D151" s="235">
        <f t="shared" ca="1" si="12"/>
        <v>0</v>
      </c>
      <c r="E151" s="235">
        <f t="shared" ca="1" si="12"/>
        <v>0</v>
      </c>
      <c r="F151" s="235">
        <f t="shared" ca="1" si="12"/>
        <v>0</v>
      </c>
      <c r="G151" s="235">
        <f t="shared" ca="1" si="12"/>
        <v>0</v>
      </c>
      <c r="H151" s="235">
        <f t="shared" ca="1" si="12"/>
        <v>5704.6725935636387</v>
      </c>
      <c r="I151" s="235">
        <f t="shared" ca="1" si="12"/>
        <v>0</v>
      </c>
      <c r="J151" s="235">
        <f t="shared" ca="1" si="12"/>
        <v>0</v>
      </c>
      <c r="K151" s="235">
        <f t="shared" ca="1" si="12"/>
        <v>0</v>
      </c>
      <c r="L151" s="235">
        <f t="shared" ca="1" si="12"/>
        <v>0</v>
      </c>
      <c r="M151" s="235">
        <f t="shared" ca="1" si="12"/>
        <v>0</v>
      </c>
      <c r="N151" s="95"/>
    </row>
    <row r="152" spans="1:14">
      <c r="A152" s="95" t="s">
        <v>117</v>
      </c>
      <c r="B152" s="235">
        <f t="shared" ref="B152:M152" ca="1" si="13">IF(MIN($B$149:$M$149)=B149,B149,0)</f>
        <v>1755.919607453756</v>
      </c>
      <c r="C152" s="235">
        <f t="shared" ca="1" si="13"/>
        <v>0</v>
      </c>
      <c r="D152" s="235">
        <f t="shared" ca="1" si="13"/>
        <v>0</v>
      </c>
      <c r="E152" s="235">
        <f t="shared" ca="1" si="13"/>
        <v>0</v>
      </c>
      <c r="F152" s="235">
        <f t="shared" ca="1" si="13"/>
        <v>0</v>
      </c>
      <c r="G152" s="235">
        <f t="shared" ca="1" si="13"/>
        <v>0</v>
      </c>
      <c r="H152" s="235">
        <f t="shared" ca="1" si="13"/>
        <v>0</v>
      </c>
      <c r="I152" s="235">
        <f t="shared" ca="1" si="13"/>
        <v>0</v>
      </c>
      <c r="J152" s="235">
        <f t="shared" ca="1" si="13"/>
        <v>0</v>
      </c>
      <c r="K152" s="235">
        <f t="shared" ca="1" si="13"/>
        <v>0</v>
      </c>
      <c r="L152" s="235">
        <f t="shared" ca="1" si="13"/>
        <v>0</v>
      </c>
      <c r="M152" s="235">
        <f t="shared" ca="1" si="13"/>
        <v>0</v>
      </c>
      <c r="N152" s="95"/>
    </row>
    <row r="153" spans="1:14">
      <c r="A153" s="95"/>
      <c r="B153" s="95"/>
      <c r="C153" s="95"/>
      <c r="D153" s="95"/>
      <c r="E153" s="95"/>
      <c r="F153" s="95"/>
      <c r="G153" s="95"/>
      <c r="H153" s="95"/>
      <c r="I153" s="95"/>
      <c r="J153" s="95"/>
      <c r="K153" s="95"/>
      <c r="L153" s="95"/>
      <c r="M153" s="95"/>
      <c r="N153" s="95"/>
    </row>
  </sheetData>
  <sheetProtection algorithmName="SHA-512" hashValue="ROsjY0F6ixmLavux6y6GAx66Q1NW89Ey18vIlIYEaJlEGoI24w9XzwDPMabptrr1fBK+G7qjBxoKGLa20nw49w==" saltValue="GE+Oh1dB6mpv5IdmEKFSLQ==" spinCount="100000" sheet="1" objects="1" scenarios="1"/>
  <pageMargins left="0.7" right="0.7" top="0.75" bottom="0.75" header="0.3" footer="0.3"/>
  <customProperties>
    <customPr name="EpmWorksheetKeyString_GUID" r:id="rId1"/>
  </customProperties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44</vt:i4>
      </vt:variant>
    </vt:vector>
  </HeadingPairs>
  <TitlesOfParts>
    <vt:vector size="59" baseType="lpstr">
      <vt:lpstr>Instructions</vt:lpstr>
      <vt:lpstr>Master Assumptions</vt:lpstr>
      <vt:lpstr>Processing Assumptions</vt:lpstr>
      <vt:lpstr>Input</vt:lpstr>
      <vt:lpstr>Output</vt:lpstr>
      <vt:lpstr>Services</vt:lpstr>
      <vt:lpstr>Processing</vt:lpstr>
      <vt:lpstr>Dashboard Other</vt:lpstr>
      <vt:lpstr>Dashboard Financial</vt:lpstr>
      <vt:lpstr>Business Projection</vt:lpstr>
      <vt:lpstr>Actual P&amp;L Statement</vt:lpstr>
      <vt:lpstr>Dashboard - Actual Vs Planned</vt:lpstr>
      <vt:lpstr>Table Ref</vt:lpstr>
      <vt:lpstr>Dashboard-Charts</vt:lpstr>
      <vt:lpstr>Ranges</vt:lpstr>
      <vt:lpstr>Cash</vt:lpstr>
      <vt:lpstr>'Actual P&amp;L Statement'!Cash_PurR</vt:lpstr>
      <vt:lpstr>Input!Cash_PurR</vt:lpstr>
      <vt:lpstr>'Processing Assumptions'!Cash_PurR</vt:lpstr>
      <vt:lpstr>Cash_PurR</vt:lpstr>
      <vt:lpstr>'Actual P&amp;L Statement'!Cash_SalesR</vt:lpstr>
      <vt:lpstr>Input!Cash_SalesR</vt:lpstr>
      <vt:lpstr>'Processing Assumptions'!Cash_SalesR</vt:lpstr>
      <vt:lpstr>Cash_SalesR</vt:lpstr>
      <vt:lpstr>'Actual P&amp;L Statement'!Credit_days</vt:lpstr>
      <vt:lpstr>Input!Credit_days</vt:lpstr>
      <vt:lpstr>'Processing Assumptions'!Credit_days</vt:lpstr>
      <vt:lpstr>Credit_days</vt:lpstr>
      <vt:lpstr>'Actual P&amp;L Statement'!Frequency</vt:lpstr>
      <vt:lpstr>Input!Frequency</vt:lpstr>
      <vt:lpstr>'Processing Assumptions'!Frequency</vt:lpstr>
      <vt:lpstr>Frequency</vt:lpstr>
      <vt:lpstr>'Actual P&amp;L Statement'!GP_Growth</vt:lpstr>
      <vt:lpstr>Input!GP_Growth</vt:lpstr>
      <vt:lpstr>'Processing Assumptions'!GP_Growth</vt:lpstr>
      <vt:lpstr>GP_Growth</vt:lpstr>
      <vt:lpstr>'Actual P&amp;L Statement'!Growth_Type1</vt:lpstr>
      <vt:lpstr>Input!Growth_Type1</vt:lpstr>
      <vt:lpstr>'Processing Assumptions'!Growth_Type1</vt:lpstr>
      <vt:lpstr>Growth_Type1</vt:lpstr>
      <vt:lpstr>'Actual P&amp;L Statement'!Growth_Type2</vt:lpstr>
      <vt:lpstr>Input!Growth_Type2</vt:lpstr>
      <vt:lpstr>'Processing Assumptions'!Growth_Type2</vt:lpstr>
      <vt:lpstr>Growth_Type2</vt:lpstr>
      <vt:lpstr>'Actual P&amp;L Statement'!InterestR</vt:lpstr>
      <vt:lpstr>Input!InterestR</vt:lpstr>
      <vt:lpstr>'Processing Assumptions'!InterestR</vt:lpstr>
      <vt:lpstr>InterestR</vt:lpstr>
      <vt:lpstr>'Actual P&amp;L Statement'!Pavan</vt:lpstr>
      <vt:lpstr>'Processing Assumptions'!Pavan</vt:lpstr>
      <vt:lpstr>Pavan</vt:lpstr>
      <vt:lpstr>'Actual P&amp;L Statement'!PaymentT</vt:lpstr>
      <vt:lpstr>Input!PaymentT</vt:lpstr>
      <vt:lpstr>'Processing Assumptions'!PaymentT</vt:lpstr>
      <vt:lpstr>PaymentT</vt:lpstr>
      <vt:lpstr>'Actual P&amp;L Statement'!Sales_Growth</vt:lpstr>
      <vt:lpstr>Input!Sales_Growth</vt:lpstr>
      <vt:lpstr>'Processing Assumptions'!Sales_Growth</vt:lpstr>
      <vt:lpstr>Sales_Growth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Prashant Panchal</dc:creator>
  <cp:lastModifiedBy>Dave, Sheetal</cp:lastModifiedBy>
  <cp:lastPrinted>2019-10-29T12:36:54Z</cp:lastPrinted>
  <dcterms:created xsi:type="dcterms:W3CDTF">2019-09-02T13:32:37Z</dcterms:created>
  <dcterms:modified xsi:type="dcterms:W3CDTF">2022-08-24T08:11:26Z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cfcad24b-3151-4b06-9793-4580a96d087a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</Properties>
</file>